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raa-my.sharepoint.com/personal/vn197305_azores_gov_pt/Documents/Documents/Excel/Introduções no Consumo/Estatística I. C. para fora/"/>
    </mc:Choice>
  </mc:AlternateContent>
  <xr:revisionPtr revIDLastSave="1" documentId="11_B547FC0B356A392C8504377BB9C5DBADDEE2255B" xr6:coauthVersionLast="47" xr6:coauthVersionMax="47" xr10:uidLastSave="{E5DF3B0D-22F5-4E46-8F43-A18856B9CE3C}"/>
  <bookViews>
    <workbookView xWindow="-120" yWindow="-120" windowWidth="29040" windowHeight="15720" tabRatio="839" firstSheet="8" activeTab="24" xr2:uid="{00000000-000D-0000-FFFF-FFFF00000000}"/>
  </bookViews>
  <sheets>
    <sheet name="1997" sheetId="4" r:id="rId1"/>
    <sheet name="1998" sheetId="5" r:id="rId2"/>
    <sheet name="1999" sheetId="6" r:id="rId3"/>
    <sheet name="2000" sheetId="7" r:id="rId4"/>
    <sheet name="2001" sheetId="8" r:id="rId5"/>
    <sheet name="2002" sheetId="9" r:id="rId6"/>
    <sheet name="2004" sheetId="10" r:id="rId7"/>
    <sheet name="2005" sheetId="11" r:id="rId8"/>
    <sheet name="2006" sheetId="12" r:id="rId9"/>
    <sheet name="2007" sheetId="13" r:id="rId10"/>
    <sheet name="2008" sheetId="14" r:id="rId11"/>
    <sheet name="2009" sheetId="15" r:id="rId12"/>
    <sheet name="2010" sheetId="16" r:id="rId13"/>
    <sheet name="2011" sheetId="17" r:id="rId14"/>
    <sheet name="2012" sheetId="18" r:id="rId15"/>
    <sheet name="2013" sheetId="19" r:id="rId16"/>
    <sheet name="2014" sheetId="20" r:id="rId17"/>
    <sheet name="2015" sheetId="21" r:id="rId18"/>
    <sheet name="2016" sheetId="22" r:id="rId19"/>
    <sheet name="2017" sheetId="23" r:id="rId20"/>
    <sheet name="2018" sheetId="24" r:id="rId21"/>
    <sheet name="2019" sheetId="25" r:id="rId22"/>
    <sheet name="2020" sheetId="26" r:id="rId23"/>
    <sheet name="2021" sheetId="27" r:id="rId24"/>
    <sheet name="2022" sheetId="28" r:id="rId25"/>
    <sheet name="Folha2" sheetId="2" r:id="rId26"/>
    <sheet name="Folha3" sheetId="3" r:id="rId27"/>
  </sheets>
  <externalReferences>
    <externalReference r:id="rId28"/>
  </externalReference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16" hidden="1">1</definedName>
    <definedName name="_Regression_Int" localSheetId="17" hidden="1">1</definedName>
    <definedName name="_Regression_Int" localSheetId="18" hidden="1">1</definedName>
    <definedName name="_Regression_Int" localSheetId="19" hidden="1">1</definedName>
    <definedName name="_Regression_Int" localSheetId="20" hidden="1">1</definedName>
    <definedName name="_Regression_Int" localSheetId="21" hidden="1">1</definedName>
    <definedName name="_Regression_Int" localSheetId="22" hidden="1">1</definedName>
    <definedName name="_Regression_Int" localSheetId="23" hidden="1">1</definedName>
    <definedName name="_Regression_Int" localSheetId="24" hidden="1">1</definedName>
    <definedName name="_xlnm.Print_Area" localSheetId="0">'1997'!$A$32:$N$56</definedName>
    <definedName name="_xlnm.Print_Area" localSheetId="1">'1998'!$A$32:$N$56</definedName>
    <definedName name="_xlnm.Print_Area" localSheetId="2">'1999'!$A$32:$N$56</definedName>
    <definedName name="_xlnm.Print_Area" localSheetId="3">'2000'!$A$32:$N$56</definedName>
    <definedName name="_xlnm.Print_Area" localSheetId="16">'2014'!$A$31:$N$55</definedName>
    <definedName name="_xlnm.Print_Area" localSheetId="17">'2015'!$A$31:$N$55</definedName>
    <definedName name="_xlnm.Print_Area" localSheetId="18">'2016'!$A$31:$N$55</definedName>
    <definedName name="_xlnm.Print_Area" localSheetId="19">'2017'!$A$31:$N$55</definedName>
    <definedName name="_xlnm.Print_Area" localSheetId="20">'2018'!$A$31:$N$55</definedName>
    <definedName name="_xlnm.Print_Area" localSheetId="21">'2019'!$A$31:$N$55</definedName>
    <definedName name="_xlnm.Print_Area" localSheetId="22">'2020'!$A$31:$N$55</definedName>
    <definedName name="_xlnm.Print_Area" localSheetId="23">'2021'!$A$31:$N$55</definedName>
    <definedName name="_xlnm.Print_Area" localSheetId="24">'2022'!$A$31:$N$55</definedName>
    <definedName name="PRINT_ARE" localSheetId="1">#REF!</definedName>
    <definedName name="PRINT_ARE" localSheetId="2">#REF!</definedName>
    <definedName name="PRINT_ARE" localSheetId="3">#REF!</definedName>
    <definedName name="PRINT_ARE" localSheetId="16">#REF!</definedName>
    <definedName name="PRINT_ARE" localSheetId="17">#REF!</definedName>
    <definedName name="PRINT_ARE" localSheetId="18">#REF!</definedName>
    <definedName name="PRINT_ARE" localSheetId="19">#REF!</definedName>
    <definedName name="PRINT_ARE" localSheetId="20">#REF!</definedName>
    <definedName name="PRINT_ARE" localSheetId="21">#REF!</definedName>
    <definedName name="PRINT_ARE" localSheetId="22">#REF!</definedName>
    <definedName name="PRINT_ARE" localSheetId="23">#REF!</definedName>
    <definedName name="PRINT_ARE" localSheetId="24">#REF!</definedName>
    <definedName name="PRINT_ARE">#REF!</definedName>
    <definedName name="PRINT_AREA_M" localSheetId="1">#REF!</definedName>
    <definedName name="PRINT_AREA_M" localSheetId="2">#REF!</definedName>
    <definedName name="PRINT_AREA_M" localSheetId="3">#REF!</definedName>
    <definedName name="PRINT_AREA_M" localSheetId="16">#REF!</definedName>
    <definedName name="PRINT_AREA_M" localSheetId="17">#REF!</definedName>
    <definedName name="PRINT_AREA_M" localSheetId="18">#REF!</definedName>
    <definedName name="PRINT_AREA_M" localSheetId="19">#REF!</definedName>
    <definedName name="PRINT_AREA_M" localSheetId="20">#REF!</definedName>
    <definedName name="PRINT_AREA_M" localSheetId="21">#REF!</definedName>
    <definedName name="PRINT_AREA_M" localSheetId="22">#REF!</definedName>
    <definedName name="PRINT_AREA_M" localSheetId="23">#REF!</definedName>
    <definedName name="PRINT_AREA_M" localSheetId="24">#REF!</definedName>
    <definedName name="PRINT_AREA_M">#REF!</definedName>
    <definedName name="Print_Area_MI" localSheetId="0">'1997'!$A$32:$N$56</definedName>
    <definedName name="Print_Area_MI" localSheetId="1">'1998'!$A$32:$N$56</definedName>
    <definedName name="Print_Area_MI" localSheetId="2">'1999'!$A$32:$N$56</definedName>
    <definedName name="Print_Area_MI" localSheetId="3">'2000'!$A$32:$N$56</definedName>
    <definedName name="Print_Area_MI" localSheetId="16">'2014'!$A$31:$N$55</definedName>
    <definedName name="Print_Area_MI" localSheetId="17">'2015'!$A$31:$N$55</definedName>
    <definedName name="Print_Area_MI" localSheetId="18">'2016'!$A$31:$N$55</definedName>
    <definedName name="Print_Area_MI" localSheetId="19">'2017'!$A$31:$N$55</definedName>
    <definedName name="Print_Area_MI" localSheetId="20">'2018'!$A$31:$N$55</definedName>
    <definedName name="Print_Area_MI" localSheetId="21">'2019'!$A$31:$N$55</definedName>
    <definedName name="Print_Area_MI" localSheetId="22">'2020'!$A$31:$N$55</definedName>
    <definedName name="Print_Area_MI" localSheetId="23">'2021'!$A$31:$N$55</definedName>
    <definedName name="Print_Area_MI" localSheetId="24">'2022'!$A$31:$N$55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28" l="1"/>
  <c r="P53" i="28"/>
  <c r="O53" i="28"/>
  <c r="N53" i="28"/>
  <c r="M53" i="28"/>
  <c r="L53" i="28"/>
  <c r="K53" i="28"/>
  <c r="J53" i="28"/>
  <c r="I53" i="28"/>
  <c r="H53" i="28"/>
  <c r="G53" i="28"/>
  <c r="Q52" i="28"/>
  <c r="P52" i="28"/>
  <c r="O52" i="28"/>
  <c r="N52" i="28"/>
  <c r="M52" i="28"/>
  <c r="L52" i="28"/>
  <c r="K52" i="28"/>
  <c r="J52" i="28"/>
  <c r="I52" i="28"/>
  <c r="H52" i="28"/>
  <c r="G52" i="28"/>
  <c r="F52" i="28"/>
  <c r="F51" i="28"/>
  <c r="F50" i="28"/>
  <c r="F49" i="28"/>
  <c r="Q48" i="28"/>
  <c r="P48" i="28"/>
  <c r="O48" i="28"/>
  <c r="N48" i="28"/>
  <c r="M48" i="28"/>
  <c r="L48" i="28"/>
  <c r="K48" i="28"/>
  <c r="J48" i="28"/>
  <c r="I48" i="28"/>
  <c r="H48" i="28"/>
  <c r="G48" i="28"/>
  <c r="F47" i="28"/>
  <c r="F48" i="28" s="1"/>
  <c r="F46" i="28"/>
  <c r="F45" i="28"/>
  <c r="Q44" i="28"/>
  <c r="P44" i="28"/>
  <c r="O44" i="28"/>
  <c r="N44" i="28"/>
  <c r="M44" i="28"/>
  <c r="L44" i="28"/>
  <c r="K44" i="28"/>
  <c r="J44" i="28"/>
  <c r="I44" i="28"/>
  <c r="H44" i="28"/>
  <c r="G44" i="28"/>
  <c r="F43" i="28"/>
  <c r="F42" i="28"/>
  <c r="F41" i="28"/>
  <c r="F44" i="28" s="1"/>
  <c r="Q40" i="28"/>
  <c r="P40" i="28"/>
  <c r="O40" i="28"/>
  <c r="N40" i="28"/>
  <c r="M40" i="28"/>
  <c r="L40" i="28"/>
  <c r="K40" i="28"/>
  <c r="J40" i="28"/>
  <c r="I40" i="28"/>
  <c r="H40" i="28"/>
  <c r="G40" i="28"/>
  <c r="F39" i="28"/>
  <c r="F38" i="28"/>
  <c r="F37" i="28"/>
  <c r="F53" i="28" s="1"/>
  <c r="Q25" i="28"/>
  <c r="P25" i="28"/>
  <c r="O25" i="28"/>
  <c r="N25" i="28"/>
  <c r="M25" i="28"/>
  <c r="L25" i="28"/>
  <c r="K25" i="28"/>
  <c r="J25" i="28"/>
  <c r="I25" i="28"/>
  <c r="H25" i="28"/>
  <c r="G25" i="28"/>
  <c r="F25" i="28" s="1"/>
  <c r="F23" i="28"/>
  <c r="F21" i="28"/>
  <c r="F19" i="28"/>
  <c r="F17" i="28"/>
  <c r="F15" i="28"/>
  <c r="F13" i="28"/>
  <c r="F11" i="28"/>
  <c r="F9" i="28"/>
  <c r="F7" i="28"/>
  <c r="Q53" i="27"/>
  <c r="P53" i="27"/>
  <c r="O53" i="27"/>
  <c r="N53" i="27"/>
  <c r="M53" i="27"/>
  <c r="L53" i="27"/>
  <c r="K53" i="27"/>
  <c r="J53" i="27"/>
  <c r="I53" i="27"/>
  <c r="H53" i="27"/>
  <c r="G53" i="27"/>
  <c r="Q52" i="27"/>
  <c r="P52" i="27"/>
  <c r="O52" i="27"/>
  <c r="N52" i="27"/>
  <c r="M52" i="27"/>
  <c r="L52" i="27"/>
  <c r="K52" i="27"/>
  <c r="J52" i="27"/>
  <c r="I52" i="27"/>
  <c r="H52" i="27"/>
  <c r="G52" i="27"/>
  <c r="F51" i="27"/>
  <c r="F52" i="27" s="1"/>
  <c r="F50" i="27"/>
  <c r="F49" i="27"/>
  <c r="Q48" i="27"/>
  <c r="P48" i="27"/>
  <c r="O48" i="27"/>
  <c r="N48" i="27"/>
  <c r="M48" i="27"/>
  <c r="L48" i="27"/>
  <c r="K48" i="27"/>
  <c r="J48" i="27"/>
  <c r="I48" i="27"/>
  <c r="H48" i="27"/>
  <c r="G48" i="27"/>
  <c r="F47" i="27"/>
  <c r="F46" i="27"/>
  <c r="F45" i="27"/>
  <c r="F48" i="27" s="1"/>
  <c r="Q44" i="27"/>
  <c r="P44" i="27"/>
  <c r="O44" i="27"/>
  <c r="N44" i="27"/>
  <c r="M44" i="27"/>
  <c r="L44" i="27"/>
  <c r="K44" i="27"/>
  <c r="J44" i="27"/>
  <c r="I44" i="27"/>
  <c r="H44" i="27"/>
  <c r="G44" i="27"/>
  <c r="F43" i="27"/>
  <c r="F42" i="27"/>
  <c r="F41" i="27"/>
  <c r="F44" i="27" s="1"/>
  <c r="Q40" i="27"/>
  <c r="P40" i="27"/>
  <c r="O40" i="27"/>
  <c r="N40" i="27"/>
  <c r="M40" i="27"/>
  <c r="L40" i="27"/>
  <c r="K40" i="27"/>
  <c r="J40" i="27"/>
  <c r="I40" i="27"/>
  <c r="H40" i="27"/>
  <c r="G40" i="27"/>
  <c r="F39" i="27"/>
  <c r="F38" i="27"/>
  <c r="F37" i="27"/>
  <c r="Q25" i="27"/>
  <c r="P25" i="27"/>
  <c r="O25" i="27"/>
  <c r="N25" i="27"/>
  <c r="M25" i="27"/>
  <c r="L25" i="27"/>
  <c r="K25" i="27"/>
  <c r="J25" i="27"/>
  <c r="I25" i="27"/>
  <c r="H25" i="27"/>
  <c r="G25" i="27"/>
  <c r="F23" i="27"/>
  <c r="F21" i="27"/>
  <c r="F19" i="27"/>
  <c r="F17" i="27"/>
  <c r="F15" i="27"/>
  <c r="F13" i="27"/>
  <c r="F11" i="27"/>
  <c r="F9" i="27"/>
  <c r="F7" i="27"/>
  <c r="F40" i="28" l="1"/>
  <c r="F25" i="27"/>
  <c r="F40" i="27"/>
  <c r="F53" i="27"/>
  <c r="Q53" i="26"/>
  <c r="P53" i="26"/>
  <c r="O53" i="26"/>
  <c r="N53" i="26"/>
  <c r="M53" i="26"/>
  <c r="L53" i="26"/>
  <c r="K53" i="26"/>
  <c r="J53" i="26"/>
  <c r="I53" i="26"/>
  <c r="H53" i="26"/>
  <c r="G53" i="26"/>
  <c r="F51" i="26"/>
  <c r="F52" i="26" s="1"/>
  <c r="F50" i="26"/>
  <c r="F49" i="26"/>
  <c r="F47" i="26"/>
  <c r="F46" i="26"/>
  <c r="F45" i="26"/>
  <c r="F43" i="26"/>
  <c r="F42" i="26"/>
  <c r="F41" i="26"/>
  <c r="F39" i="26"/>
  <c r="F38" i="26"/>
  <c r="F37" i="26"/>
  <c r="F40" i="26" s="1"/>
  <c r="Q25" i="26"/>
  <c r="P25" i="26"/>
  <c r="O25" i="26"/>
  <c r="N25" i="26"/>
  <c r="M25" i="26"/>
  <c r="L25" i="26"/>
  <c r="K25" i="26"/>
  <c r="J25" i="26"/>
  <c r="I25" i="26"/>
  <c r="H25" i="26"/>
  <c r="G25" i="26"/>
  <c r="F23" i="26"/>
  <c r="F21" i="26"/>
  <c r="F19" i="26"/>
  <c r="F17" i="26"/>
  <c r="F15" i="26"/>
  <c r="F13" i="26"/>
  <c r="F11" i="26"/>
  <c r="F9" i="26"/>
  <c r="F7" i="26"/>
  <c r="F25" i="26" l="1"/>
  <c r="F44" i="26"/>
  <c r="F48" i="26"/>
  <c r="F53" i="26"/>
  <c r="Q53" i="25"/>
  <c r="P53" i="25"/>
  <c r="O53" i="25"/>
  <c r="N53" i="25"/>
  <c r="M53" i="25"/>
  <c r="L53" i="25"/>
  <c r="K53" i="25"/>
  <c r="J53" i="25"/>
  <c r="I53" i="25"/>
  <c r="H53" i="25"/>
  <c r="G53" i="25"/>
  <c r="Q52" i="25"/>
  <c r="P52" i="25"/>
  <c r="O52" i="25"/>
  <c r="N52" i="25"/>
  <c r="M52" i="25"/>
  <c r="L52" i="25"/>
  <c r="K52" i="25"/>
  <c r="J52" i="25"/>
  <c r="I52" i="25"/>
  <c r="H52" i="25"/>
  <c r="G52" i="25"/>
  <c r="F51" i="25"/>
  <c r="F50" i="25"/>
  <c r="F49" i="25"/>
  <c r="F52" i="25" s="1"/>
  <c r="Q48" i="25"/>
  <c r="P48" i="25"/>
  <c r="O48" i="25"/>
  <c r="N48" i="25"/>
  <c r="M48" i="25"/>
  <c r="L48" i="25"/>
  <c r="K48" i="25"/>
  <c r="J48" i="25"/>
  <c r="I48" i="25"/>
  <c r="H48" i="25"/>
  <c r="G48" i="25"/>
  <c r="F47" i="25"/>
  <c r="F46" i="25"/>
  <c r="F45" i="25"/>
  <c r="F48" i="25" s="1"/>
  <c r="Q44" i="25"/>
  <c r="P44" i="25"/>
  <c r="O44" i="25"/>
  <c r="N44" i="25"/>
  <c r="M44" i="25"/>
  <c r="L44" i="25"/>
  <c r="K44" i="25"/>
  <c r="J44" i="25"/>
  <c r="I44" i="25"/>
  <c r="H44" i="25"/>
  <c r="G44" i="25"/>
  <c r="F43" i="25"/>
  <c r="F42" i="25"/>
  <c r="F41" i="25"/>
  <c r="Q40" i="25"/>
  <c r="P40" i="25"/>
  <c r="O40" i="25"/>
  <c r="N40" i="25"/>
  <c r="M40" i="25"/>
  <c r="L40" i="25"/>
  <c r="K40" i="25"/>
  <c r="J40" i="25"/>
  <c r="I40" i="25"/>
  <c r="H40" i="25"/>
  <c r="G40" i="25"/>
  <c r="F39" i="25"/>
  <c r="F38" i="25"/>
  <c r="F37" i="25"/>
  <c r="F40" i="25" s="1"/>
  <c r="Q25" i="25"/>
  <c r="P25" i="25"/>
  <c r="O25" i="25"/>
  <c r="N25" i="25"/>
  <c r="M25" i="25"/>
  <c r="L25" i="25"/>
  <c r="K25" i="25"/>
  <c r="J25" i="25"/>
  <c r="F25" i="25" s="1"/>
  <c r="I25" i="25"/>
  <c r="H25" i="25"/>
  <c r="G25" i="25"/>
  <c r="F23" i="25"/>
  <c r="F21" i="25"/>
  <c r="F19" i="25"/>
  <c r="F17" i="25"/>
  <c r="F15" i="25"/>
  <c r="F13" i="25"/>
  <c r="F11" i="25"/>
  <c r="F9" i="25"/>
  <c r="F7" i="25"/>
  <c r="F44" i="25" l="1"/>
  <c r="F53" i="25"/>
  <c r="Q52" i="24"/>
  <c r="P52" i="24"/>
  <c r="O52" i="24"/>
  <c r="N52" i="24"/>
  <c r="M52" i="24"/>
  <c r="L52" i="24"/>
  <c r="K52" i="24"/>
  <c r="J52" i="24"/>
  <c r="I52" i="24"/>
  <c r="H52" i="24"/>
  <c r="G52" i="24"/>
  <c r="Q48" i="24"/>
  <c r="P48" i="24"/>
  <c r="O48" i="24"/>
  <c r="N48" i="24"/>
  <c r="M48" i="24"/>
  <c r="L48" i="24"/>
  <c r="K48" i="24"/>
  <c r="J48" i="24"/>
  <c r="I48" i="24"/>
  <c r="H48" i="24"/>
  <c r="G48" i="24"/>
  <c r="Q44" i="24"/>
  <c r="P44" i="24"/>
  <c r="O44" i="24"/>
  <c r="N44" i="24"/>
  <c r="M44" i="24"/>
  <c r="L44" i="24"/>
  <c r="K44" i="24"/>
  <c r="J44" i="24"/>
  <c r="I44" i="24"/>
  <c r="H44" i="24"/>
  <c r="G44" i="24"/>
  <c r="Q40" i="24"/>
  <c r="P40" i="24"/>
  <c r="O40" i="24"/>
  <c r="N40" i="24"/>
  <c r="M40" i="24"/>
  <c r="L40" i="24"/>
  <c r="K40" i="24"/>
  <c r="J40" i="24"/>
  <c r="I40" i="24"/>
  <c r="H40" i="24"/>
  <c r="G40" i="24"/>
  <c r="Q53" i="24"/>
  <c r="P53" i="24"/>
  <c r="O53" i="24"/>
  <c r="N53" i="24"/>
  <c r="M53" i="24"/>
  <c r="L53" i="24"/>
  <c r="K53" i="24"/>
  <c r="J53" i="24"/>
  <c r="I53" i="24"/>
  <c r="H53" i="24"/>
  <c r="G53" i="24"/>
  <c r="F51" i="24"/>
  <c r="F50" i="24"/>
  <c r="F49" i="24"/>
  <c r="F47" i="24"/>
  <c r="F46" i="24"/>
  <c r="F45" i="24"/>
  <c r="F43" i="24"/>
  <c r="F44" i="24" s="1"/>
  <c r="F42" i="24"/>
  <c r="F41" i="24"/>
  <c r="F39" i="24"/>
  <c r="F38" i="24"/>
  <c r="F37" i="24"/>
  <c r="Q25" i="24"/>
  <c r="P25" i="24"/>
  <c r="O25" i="24"/>
  <c r="N25" i="24"/>
  <c r="M25" i="24"/>
  <c r="L25" i="24"/>
  <c r="K25" i="24"/>
  <c r="J25" i="24"/>
  <c r="I25" i="24"/>
  <c r="H25" i="24"/>
  <c r="G25" i="24"/>
  <c r="F23" i="24"/>
  <c r="F21" i="24"/>
  <c r="F19" i="24"/>
  <c r="F17" i="24"/>
  <c r="F15" i="24"/>
  <c r="F13" i="24"/>
  <c r="F11" i="24"/>
  <c r="F9" i="24"/>
  <c r="F7" i="24"/>
  <c r="F48" i="24" l="1"/>
  <c r="F52" i="24"/>
  <c r="F40" i="24"/>
  <c r="F53" i="24"/>
  <c r="F25" i="24"/>
  <c r="Q53" i="23"/>
  <c r="P53" i="23"/>
  <c r="O53" i="23"/>
  <c r="N53" i="23"/>
  <c r="M53" i="23"/>
  <c r="L53" i="23"/>
  <c r="K53" i="23"/>
  <c r="J53" i="23"/>
  <c r="I53" i="23"/>
  <c r="H53" i="23"/>
  <c r="G53" i="23"/>
  <c r="Q52" i="23"/>
  <c r="P52" i="23"/>
  <c r="O52" i="23"/>
  <c r="N52" i="23"/>
  <c r="M52" i="23"/>
  <c r="L52" i="23"/>
  <c r="K52" i="23"/>
  <c r="J52" i="23"/>
  <c r="I52" i="23"/>
  <c r="H52" i="23"/>
  <c r="G52" i="23"/>
  <c r="F51" i="23"/>
  <c r="F50" i="23"/>
  <c r="F49" i="23"/>
  <c r="Q48" i="23"/>
  <c r="P48" i="23"/>
  <c r="O48" i="23"/>
  <c r="N48" i="23"/>
  <c r="M48" i="23"/>
  <c r="L48" i="23"/>
  <c r="K48" i="23"/>
  <c r="J48" i="23"/>
  <c r="I48" i="23"/>
  <c r="H48" i="23"/>
  <c r="G48" i="23"/>
  <c r="F47" i="23"/>
  <c r="F46" i="23"/>
  <c r="F45" i="23"/>
  <c r="Q44" i="23"/>
  <c r="P44" i="23"/>
  <c r="O44" i="23"/>
  <c r="N44" i="23"/>
  <c r="M44" i="23"/>
  <c r="L44" i="23"/>
  <c r="K44" i="23"/>
  <c r="J44" i="23"/>
  <c r="I44" i="23"/>
  <c r="H44" i="23"/>
  <c r="G44" i="23"/>
  <c r="F43" i="23"/>
  <c r="F42" i="23"/>
  <c r="F41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F39" i="23"/>
  <c r="F38" i="23"/>
  <c r="F37" i="23"/>
  <c r="Q25" i="23"/>
  <c r="P25" i="23"/>
  <c r="O25" i="23"/>
  <c r="N25" i="23"/>
  <c r="M25" i="23"/>
  <c r="L25" i="23"/>
  <c r="K25" i="23"/>
  <c r="J25" i="23"/>
  <c r="I25" i="23"/>
  <c r="H25" i="23"/>
  <c r="G25" i="23"/>
  <c r="F23" i="23"/>
  <c r="F21" i="23"/>
  <c r="F19" i="23"/>
  <c r="F17" i="23"/>
  <c r="F15" i="23"/>
  <c r="F13" i="23"/>
  <c r="F11" i="23"/>
  <c r="F9" i="23"/>
  <c r="F7" i="23"/>
  <c r="Q53" i="22"/>
  <c r="P53" i="22"/>
  <c r="O53" i="22"/>
  <c r="N53" i="22"/>
  <c r="M53" i="22"/>
  <c r="L53" i="22"/>
  <c r="K53" i="22"/>
  <c r="J53" i="22"/>
  <c r="I53" i="22"/>
  <c r="H53" i="22"/>
  <c r="G53" i="22"/>
  <c r="Q52" i="22"/>
  <c r="P52" i="22"/>
  <c r="O52" i="22"/>
  <c r="N52" i="22"/>
  <c r="M52" i="22"/>
  <c r="L52" i="22"/>
  <c r="K52" i="22"/>
  <c r="J52" i="22"/>
  <c r="I52" i="22"/>
  <c r="H52" i="22"/>
  <c r="G52" i="22"/>
  <c r="F51" i="22"/>
  <c r="F50" i="22"/>
  <c r="F49" i="22"/>
  <c r="F52" i="22" s="1"/>
  <c r="Q48" i="22"/>
  <c r="P48" i="22"/>
  <c r="O48" i="22"/>
  <c r="N48" i="22"/>
  <c r="M48" i="22"/>
  <c r="L48" i="22"/>
  <c r="K48" i="22"/>
  <c r="J48" i="22"/>
  <c r="I48" i="22"/>
  <c r="H48" i="22"/>
  <c r="G48" i="22"/>
  <c r="F47" i="22"/>
  <c r="F46" i="22"/>
  <c r="F48" i="22" s="1"/>
  <c r="F45" i="22"/>
  <c r="Q44" i="22"/>
  <c r="P44" i="22"/>
  <c r="O44" i="22"/>
  <c r="N44" i="22"/>
  <c r="M44" i="22"/>
  <c r="L44" i="22"/>
  <c r="K44" i="22"/>
  <c r="J44" i="22"/>
  <c r="I44" i="22"/>
  <c r="H44" i="22"/>
  <c r="G44" i="22"/>
  <c r="F43" i="22"/>
  <c r="F42" i="22"/>
  <c r="F41" i="22"/>
  <c r="F44" i="22" s="1"/>
  <c r="Q40" i="22"/>
  <c r="P40" i="22"/>
  <c r="O40" i="22"/>
  <c r="N40" i="22"/>
  <c r="M40" i="22"/>
  <c r="L40" i="22"/>
  <c r="K40" i="22"/>
  <c r="J40" i="22"/>
  <c r="I40" i="22"/>
  <c r="H40" i="22"/>
  <c r="G40" i="22"/>
  <c r="F39" i="22"/>
  <c r="F38" i="22"/>
  <c r="F37" i="22"/>
  <c r="Q25" i="22"/>
  <c r="P25" i="22"/>
  <c r="O25" i="22"/>
  <c r="N25" i="22"/>
  <c r="M25" i="22"/>
  <c r="L25" i="22"/>
  <c r="K25" i="22"/>
  <c r="J25" i="22"/>
  <c r="I25" i="22"/>
  <c r="H25" i="22"/>
  <c r="G25" i="22"/>
  <c r="F23" i="22"/>
  <c r="F21" i="22"/>
  <c r="F19" i="22"/>
  <c r="F17" i="22"/>
  <c r="F15" i="22"/>
  <c r="F13" i="22"/>
  <c r="F11" i="22"/>
  <c r="F9" i="22"/>
  <c r="F7" i="22"/>
  <c r="F52" i="23" l="1"/>
  <c r="F48" i="23"/>
  <c r="F25" i="23"/>
  <c r="F44" i="23"/>
  <c r="F25" i="22"/>
  <c r="F40" i="22"/>
  <c r="F53" i="23"/>
  <c r="F53" i="22"/>
  <c r="P53" i="21"/>
  <c r="O53" i="21"/>
  <c r="N53" i="21"/>
  <c r="M53" i="21"/>
  <c r="L53" i="21"/>
  <c r="K53" i="21"/>
  <c r="J53" i="21"/>
  <c r="I53" i="21"/>
  <c r="H53" i="21"/>
  <c r="G53" i="21"/>
  <c r="F51" i="21"/>
  <c r="F50" i="21"/>
  <c r="F49" i="21"/>
  <c r="F52" i="21" s="1"/>
  <c r="P48" i="21"/>
  <c r="O48" i="21"/>
  <c r="N48" i="21"/>
  <c r="M48" i="21"/>
  <c r="L48" i="21"/>
  <c r="K48" i="21"/>
  <c r="J48" i="21"/>
  <c r="I48" i="21"/>
  <c r="H48" i="21"/>
  <c r="G48" i="21"/>
  <c r="F47" i="21"/>
  <c r="F46" i="21"/>
  <c r="F45" i="21"/>
  <c r="P44" i="21"/>
  <c r="O44" i="21"/>
  <c r="N44" i="21"/>
  <c r="M44" i="21"/>
  <c r="L44" i="21"/>
  <c r="K44" i="21"/>
  <c r="J44" i="21"/>
  <c r="I44" i="21"/>
  <c r="H44" i="21"/>
  <c r="G44" i="21"/>
  <c r="F43" i="21"/>
  <c r="F42" i="21"/>
  <c r="F41" i="21"/>
  <c r="P40" i="21"/>
  <c r="O40" i="21"/>
  <c r="N40" i="21"/>
  <c r="M40" i="21"/>
  <c r="L40" i="21"/>
  <c r="K40" i="21"/>
  <c r="J40" i="21"/>
  <c r="I40" i="21"/>
  <c r="H40" i="21"/>
  <c r="G40" i="21"/>
  <c r="F39" i="21"/>
  <c r="F38" i="21"/>
  <c r="F37" i="21"/>
  <c r="P25" i="21"/>
  <c r="O25" i="21"/>
  <c r="N25" i="21"/>
  <c r="M25" i="21"/>
  <c r="L25" i="21"/>
  <c r="K25" i="21"/>
  <c r="J25" i="21"/>
  <c r="I25" i="21"/>
  <c r="H25" i="21"/>
  <c r="G25" i="21"/>
  <c r="F23" i="21"/>
  <c r="F21" i="21"/>
  <c r="F19" i="21"/>
  <c r="F17" i="21"/>
  <c r="F15" i="21"/>
  <c r="F13" i="21"/>
  <c r="F11" i="21"/>
  <c r="F9" i="21"/>
  <c r="F7" i="21"/>
  <c r="P53" i="20"/>
  <c r="O53" i="20"/>
  <c r="N53" i="20"/>
  <c r="M53" i="20"/>
  <c r="L53" i="20"/>
  <c r="K53" i="20"/>
  <c r="J53" i="20"/>
  <c r="I53" i="20"/>
  <c r="H53" i="20"/>
  <c r="G53" i="20"/>
  <c r="P52" i="20"/>
  <c r="O52" i="20"/>
  <c r="N52" i="20"/>
  <c r="M52" i="20"/>
  <c r="L52" i="20"/>
  <c r="K52" i="20"/>
  <c r="J52" i="20"/>
  <c r="I52" i="20"/>
  <c r="H52" i="20"/>
  <c r="G52" i="20"/>
  <c r="F51" i="20"/>
  <c r="F50" i="20"/>
  <c r="F49" i="20"/>
  <c r="F52" i="20" s="1"/>
  <c r="P48" i="20"/>
  <c r="O48" i="20"/>
  <c r="N48" i="20"/>
  <c r="M48" i="20"/>
  <c r="L48" i="20"/>
  <c r="K48" i="20"/>
  <c r="J48" i="20"/>
  <c r="I48" i="20"/>
  <c r="H48" i="20"/>
  <c r="G48" i="20"/>
  <c r="F47" i="20"/>
  <c r="F46" i="20"/>
  <c r="F45" i="20"/>
  <c r="P44" i="20"/>
  <c r="O44" i="20"/>
  <c r="N44" i="20"/>
  <c r="M44" i="20"/>
  <c r="L44" i="20"/>
  <c r="K44" i="20"/>
  <c r="J44" i="20"/>
  <c r="I44" i="20"/>
  <c r="H44" i="20"/>
  <c r="G44" i="20"/>
  <c r="F43" i="20"/>
  <c r="F42" i="20"/>
  <c r="F41" i="20"/>
  <c r="P40" i="20"/>
  <c r="O40" i="20"/>
  <c r="N40" i="20"/>
  <c r="M40" i="20"/>
  <c r="L40" i="20"/>
  <c r="K40" i="20"/>
  <c r="J40" i="20"/>
  <c r="I40" i="20"/>
  <c r="H40" i="20"/>
  <c r="G40" i="20"/>
  <c r="F39" i="20"/>
  <c r="F38" i="20"/>
  <c r="F37" i="20"/>
  <c r="P25" i="20"/>
  <c r="O25" i="20"/>
  <c r="N25" i="20"/>
  <c r="M25" i="20"/>
  <c r="L25" i="20"/>
  <c r="K25" i="20"/>
  <c r="J25" i="20"/>
  <c r="I25" i="20"/>
  <c r="H25" i="20"/>
  <c r="G25" i="20"/>
  <c r="F23" i="20"/>
  <c r="F21" i="20"/>
  <c r="F19" i="20"/>
  <c r="F17" i="20"/>
  <c r="F15" i="20"/>
  <c r="F13" i="20"/>
  <c r="F11" i="20"/>
  <c r="F9" i="20"/>
  <c r="F7" i="20"/>
  <c r="L54" i="19"/>
  <c r="K54" i="19"/>
  <c r="J54" i="19"/>
  <c r="I54" i="19"/>
  <c r="H54" i="19"/>
  <c r="G54" i="19"/>
  <c r="F54" i="19"/>
  <c r="E54" i="19"/>
  <c r="D54" i="19"/>
  <c r="L53" i="19"/>
  <c r="K53" i="19"/>
  <c r="J53" i="19"/>
  <c r="I53" i="19"/>
  <c r="H53" i="19"/>
  <c r="G53" i="19"/>
  <c r="F53" i="19"/>
  <c r="E53" i="19"/>
  <c r="D53" i="19"/>
  <c r="C52" i="19"/>
  <c r="C51" i="19"/>
  <c r="C50" i="19"/>
  <c r="C53" i="19" s="1"/>
  <c r="L49" i="19"/>
  <c r="K49" i="19"/>
  <c r="J49" i="19"/>
  <c r="I49" i="19"/>
  <c r="H49" i="19"/>
  <c r="G49" i="19"/>
  <c r="F49" i="19"/>
  <c r="E49" i="19"/>
  <c r="D49" i="19"/>
  <c r="C48" i="19"/>
  <c r="C47" i="19"/>
  <c r="C46" i="19"/>
  <c r="L45" i="19"/>
  <c r="K45" i="19"/>
  <c r="J45" i="19"/>
  <c r="I45" i="19"/>
  <c r="H45" i="19"/>
  <c r="G45" i="19"/>
  <c r="F45" i="19"/>
  <c r="E45" i="19"/>
  <c r="D45" i="19"/>
  <c r="C44" i="19"/>
  <c r="C43" i="19"/>
  <c r="C42" i="19"/>
  <c r="C45" i="19" s="1"/>
  <c r="L41" i="19"/>
  <c r="K41" i="19"/>
  <c r="J41" i="19"/>
  <c r="I41" i="19"/>
  <c r="H41" i="19"/>
  <c r="G41" i="19"/>
  <c r="F41" i="19"/>
  <c r="E41" i="19"/>
  <c r="D41" i="19"/>
  <c r="C40" i="19"/>
  <c r="C39" i="19"/>
  <c r="C38" i="19"/>
  <c r="L26" i="19"/>
  <c r="K26" i="19"/>
  <c r="J26" i="19"/>
  <c r="I26" i="19"/>
  <c r="H26" i="19"/>
  <c r="G26" i="19"/>
  <c r="F26" i="19"/>
  <c r="E26" i="19"/>
  <c r="D26" i="19"/>
  <c r="C24" i="19"/>
  <c r="C22" i="19"/>
  <c r="C20" i="19"/>
  <c r="C18" i="19"/>
  <c r="C16" i="19"/>
  <c r="C14" i="19"/>
  <c r="C12" i="19"/>
  <c r="C10" i="19"/>
  <c r="C8" i="19"/>
  <c r="L54" i="18"/>
  <c r="K54" i="18"/>
  <c r="J54" i="18"/>
  <c r="I54" i="18"/>
  <c r="H54" i="18"/>
  <c r="G54" i="18"/>
  <c r="F54" i="18"/>
  <c r="E54" i="18"/>
  <c r="D54" i="18"/>
  <c r="L53" i="18"/>
  <c r="K53" i="18"/>
  <c r="J53" i="18"/>
  <c r="I53" i="18"/>
  <c r="H53" i="18"/>
  <c r="G53" i="18"/>
  <c r="F53" i="18"/>
  <c r="E53" i="18"/>
  <c r="D53" i="18"/>
  <c r="C52" i="18"/>
  <c r="C51" i="18"/>
  <c r="C50" i="18"/>
  <c r="L49" i="18"/>
  <c r="K49" i="18"/>
  <c r="J49" i="18"/>
  <c r="I49" i="18"/>
  <c r="H49" i="18"/>
  <c r="G49" i="18"/>
  <c r="F49" i="18"/>
  <c r="E49" i="18"/>
  <c r="D49" i="18"/>
  <c r="C48" i="18"/>
  <c r="C47" i="18"/>
  <c r="C46" i="18"/>
  <c r="L45" i="18"/>
  <c r="K45" i="18"/>
  <c r="J45" i="18"/>
  <c r="I45" i="18"/>
  <c r="H45" i="18"/>
  <c r="G45" i="18"/>
  <c r="F45" i="18"/>
  <c r="E45" i="18"/>
  <c r="D45" i="18"/>
  <c r="C44" i="18"/>
  <c r="C43" i="18"/>
  <c r="C42" i="18"/>
  <c r="L41" i="18"/>
  <c r="K41" i="18"/>
  <c r="J41" i="18"/>
  <c r="I41" i="18"/>
  <c r="H41" i="18"/>
  <c r="G41" i="18"/>
  <c r="F41" i="18"/>
  <c r="E41" i="18"/>
  <c r="D41" i="18"/>
  <c r="C40" i="18"/>
  <c r="C39" i="18"/>
  <c r="C38" i="18"/>
  <c r="L26" i="18"/>
  <c r="K26" i="18"/>
  <c r="J26" i="18"/>
  <c r="I26" i="18"/>
  <c r="H26" i="18"/>
  <c r="G26" i="18"/>
  <c r="F26" i="18"/>
  <c r="E26" i="18"/>
  <c r="D26" i="18"/>
  <c r="C24" i="18"/>
  <c r="C22" i="18"/>
  <c r="C20" i="18"/>
  <c r="C18" i="18"/>
  <c r="C16" i="18"/>
  <c r="C14" i="18"/>
  <c r="C12" i="18"/>
  <c r="C10" i="18"/>
  <c r="C8" i="18"/>
  <c r="K55" i="17"/>
  <c r="J55" i="17"/>
  <c r="I55" i="17"/>
  <c r="H55" i="17"/>
  <c r="G55" i="17"/>
  <c r="F55" i="17"/>
  <c r="E55" i="17"/>
  <c r="D55" i="17"/>
  <c r="K54" i="17"/>
  <c r="J54" i="17"/>
  <c r="I54" i="17"/>
  <c r="H54" i="17"/>
  <c r="G54" i="17"/>
  <c r="F54" i="17"/>
  <c r="E54" i="17"/>
  <c r="D54" i="17"/>
  <c r="C53" i="17"/>
  <c r="C52" i="17"/>
  <c r="C51" i="17"/>
  <c r="K50" i="17"/>
  <c r="J50" i="17"/>
  <c r="I50" i="17"/>
  <c r="H50" i="17"/>
  <c r="G50" i="17"/>
  <c r="F50" i="17"/>
  <c r="E50" i="17"/>
  <c r="D50" i="17"/>
  <c r="C49" i="17"/>
  <c r="C48" i="17"/>
  <c r="C47" i="17"/>
  <c r="K46" i="17"/>
  <c r="J46" i="17"/>
  <c r="I46" i="17"/>
  <c r="H46" i="17"/>
  <c r="G46" i="17"/>
  <c r="F46" i="17"/>
  <c r="E46" i="17"/>
  <c r="D46" i="17"/>
  <c r="C45" i="17"/>
  <c r="C44" i="17"/>
  <c r="C43" i="17"/>
  <c r="K42" i="17"/>
  <c r="J42" i="17"/>
  <c r="I42" i="17"/>
  <c r="H42" i="17"/>
  <c r="G42" i="17"/>
  <c r="F42" i="17"/>
  <c r="E42" i="17"/>
  <c r="D42" i="17"/>
  <c r="C41" i="17"/>
  <c r="C40" i="17"/>
  <c r="C39" i="17"/>
  <c r="K27" i="17"/>
  <c r="J27" i="17"/>
  <c r="I27" i="17"/>
  <c r="H27" i="17"/>
  <c r="G27" i="17"/>
  <c r="F27" i="17"/>
  <c r="E27" i="17"/>
  <c r="D27" i="17"/>
  <c r="C25" i="17"/>
  <c r="C23" i="17"/>
  <c r="C21" i="17"/>
  <c r="C19" i="17"/>
  <c r="C17" i="17"/>
  <c r="C15" i="17"/>
  <c r="C13" i="17"/>
  <c r="C12" i="17"/>
  <c r="C10" i="17"/>
  <c r="C8" i="17"/>
  <c r="K55" i="16"/>
  <c r="J55" i="16"/>
  <c r="I55" i="16"/>
  <c r="H55" i="16"/>
  <c r="G55" i="16"/>
  <c r="F55" i="16"/>
  <c r="E55" i="16"/>
  <c r="D55" i="16"/>
  <c r="K54" i="16"/>
  <c r="J54" i="16"/>
  <c r="I54" i="16"/>
  <c r="H54" i="16"/>
  <c r="G54" i="16"/>
  <c r="F54" i="16"/>
  <c r="E54" i="16"/>
  <c r="D54" i="16"/>
  <c r="C53" i="16"/>
  <c r="C52" i="16"/>
  <c r="C54" i="16" s="1"/>
  <c r="C51" i="16"/>
  <c r="K50" i="16"/>
  <c r="J50" i="16"/>
  <c r="I50" i="16"/>
  <c r="H50" i="16"/>
  <c r="G50" i="16"/>
  <c r="F50" i="16"/>
  <c r="E50" i="16"/>
  <c r="D50" i="16"/>
  <c r="C49" i="16"/>
  <c r="C48" i="16"/>
  <c r="C47" i="16"/>
  <c r="K46" i="16"/>
  <c r="J46" i="16"/>
  <c r="I46" i="16"/>
  <c r="H46" i="16"/>
  <c r="G46" i="16"/>
  <c r="F46" i="16"/>
  <c r="E46" i="16"/>
  <c r="D46" i="16"/>
  <c r="C45" i="16"/>
  <c r="C44" i="16"/>
  <c r="C43" i="16"/>
  <c r="K42" i="16"/>
  <c r="J42" i="16"/>
  <c r="I42" i="16"/>
  <c r="H42" i="16"/>
  <c r="G42" i="16"/>
  <c r="F42" i="16"/>
  <c r="E42" i="16"/>
  <c r="D42" i="16"/>
  <c r="C41" i="16"/>
  <c r="C40" i="16"/>
  <c r="C39" i="16"/>
  <c r="K27" i="16"/>
  <c r="J27" i="16"/>
  <c r="I27" i="16"/>
  <c r="H27" i="16"/>
  <c r="G27" i="16"/>
  <c r="F27" i="16"/>
  <c r="E27" i="16"/>
  <c r="D27" i="16"/>
  <c r="C25" i="16"/>
  <c r="C23" i="16"/>
  <c r="C21" i="16"/>
  <c r="C19" i="16"/>
  <c r="C17" i="16"/>
  <c r="C15" i="16"/>
  <c r="C13" i="16"/>
  <c r="C12" i="16"/>
  <c r="C10" i="16"/>
  <c r="C8" i="16"/>
  <c r="K55" i="15"/>
  <c r="J55" i="15"/>
  <c r="I55" i="15"/>
  <c r="H55" i="15"/>
  <c r="G55" i="15"/>
  <c r="F55" i="15"/>
  <c r="E55" i="15"/>
  <c r="D55" i="15"/>
  <c r="K54" i="15"/>
  <c r="J54" i="15"/>
  <c r="I54" i="15"/>
  <c r="H54" i="15"/>
  <c r="G54" i="15"/>
  <c r="F54" i="15"/>
  <c r="E54" i="15"/>
  <c r="D54" i="15"/>
  <c r="C53" i="15"/>
  <c r="C52" i="15"/>
  <c r="C51" i="15"/>
  <c r="K50" i="15"/>
  <c r="J50" i="15"/>
  <c r="I50" i="15"/>
  <c r="H50" i="15"/>
  <c r="G50" i="15"/>
  <c r="F50" i="15"/>
  <c r="E50" i="15"/>
  <c r="D50" i="15"/>
  <c r="C49" i="15"/>
  <c r="C48" i="15"/>
  <c r="C47" i="15"/>
  <c r="K46" i="15"/>
  <c r="J46" i="15"/>
  <c r="I46" i="15"/>
  <c r="H46" i="15"/>
  <c r="G46" i="15"/>
  <c r="F46" i="15"/>
  <c r="E46" i="15"/>
  <c r="D46" i="15"/>
  <c r="C45" i="15"/>
  <c r="C44" i="15"/>
  <c r="C43" i="15"/>
  <c r="K42" i="15"/>
  <c r="J42" i="15"/>
  <c r="I42" i="15"/>
  <c r="H42" i="15"/>
  <c r="G42" i="15"/>
  <c r="F42" i="15"/>
  <c r="E42" i="15"/>
  <c r="D42" i="15"/>
  <c r="C41" i="15"/>
  <c r="C40" i="15"/>
  <c r="C39" i="15"/>
  <c r="K27" i="15"/>
  <c r="J27" i="15"/>
  <c r="I27" i="15"/>
  <c r="H27" i="15"/>
  <c r="G27" i="15"/>
  <c r="F27" i="15"/>
  <c r="E27" i="15"/>
  <c r="D27" i="15"/>
  <c r="C25" i="15"/>
  <c r="C23" i="15"/>
  <c r="C21" i="15"/>
  <c r="C19" i="15"/>
  <c r="C17" i="15"/>
  <c r="C15" i="15"/>
  <c r="C13" i="15"/>
  <c r="C12" i="15"/>
  <c r="C10" i="15"/>
  <c r="C8" i="15"/>
  <c r="K55" i="14"/>
  <c r="J55" i="14"/>
  <c r="I55" i="14"/>
  <c r="H55" i="14"/>
  <c r="G55" i="14"/>
  <c r="F55" i="14"/>
  <c r="E55" i="14"/>
  <c r="D55" i="14"/>
  <c r="K54" i="14"/>
  <c r="J54" i="14"/>
  <c r="I54" i="14"/>
  <c r="H54" i="14"/>
  <c r="G54" i="14"/>
  <c r="F54" i="14"/>
  <c r="E54" i="14"/>
  <c r="D54" i="14"/>
  <c r="C53" i="14"/>
  <c r="C52" i="14"/>
  <c r="C51" i="14"/>
  <c r="K50" i="14"/>
  <c r="J50" i="14"/>
  <c r="I50" i="14"/>
  <c r="H50" i="14"/>
  <c r="G50" i="14"/>
  <c r="F50" i="14"/>
  <c r="E50" i="14"/>
  <c r="D50" i="14"/>
  <c r="C49" i="14"/>
  <c r="C48" i="14"/>
  <c r="C47" i="14"/>
  <c r="K46" i="14"/>
  <c r="J46" i="14"/>
  <c r="I46" i="14"/>
  <c r="H46" i="14"/>
  <c r="G46" i="14"/>
  <c r="F46" i="14"/>
  <c r="E46" i="14"/>
  <c r="D46" i="14"/>
  <c r="C45" i="14"/>
  <c r="C44" i="14"/>
  <c r="C43" i="14"/>
  <c r="K42" i="14"/>
  <c r="J42" i="14"/>
  <c r="I42" i="14"/>
  <c r="H42" i="14"/>
  <c r="G42" i="14"/>
  <c r="F42" i="14"/>
  <c r="E42" i="14"/>
  <c r="D42" i="14"/>
  <c r="C41" i="14"/>
  <c r="C40" i="14"/>
  <c r="C39" i="14"/>
  <c r="K27" i="14"/>
  <c r="J27" i="14"/>
  <c r="I27" i="14"/>
  <c r="H27" i="14"/>
  <c r="G27" i="14"/>
  <c r="F27" i="14"/>
  <c r="E27" i="14"/>
  <c r="D27" i="14"/>
  <c r="C25" i="14"/>
  <c r="C23" i="14"/>
  <c r="C21" i="14"/>
  <c r="C19" i="14"/>
  <c r="C17" i="14"/>
  <c r="C15" i="14"/>
  <c r="C13" i="14"/>
  <c r="C12" i="14"/>
  <c r="C10" i="14"/>
  <c r="C8" i="14"/>
  <c r="K55" i="13"/>
  <c r="J55" i="13"/>
  <c r="I55" i="13"/>
  <c r="H55" i="13"/>
  <c r="G55" i="13"/>
  <c r="F55" i="13"/>
  <c r="E55" i="13"/>
  <c r="D55" i="13"/>
  <c r="K54" i="13"/>
  <c r="J54" i="13"/>
  <c r="I54" i="13"/>
  <c r="H54" i="13"/>
  <c r="G54" i="13"/>
  <c r="F54" i="13"/>
  <c r="E54" i="13"/>
  <c r="D54" i="13"/>
  <c r="C53" i="13"/>
  <c r="C52" i="13"/>
  <c r="C51" i="13"/>
  <c r="K50" i="13"/>
  <c r="J50" i="13"/>
  <c r="I50" i="13"/>
  <c r="H50" i="13"/>
  <c r="G50" i="13"/>
  <c r="F50" i="13"/>
  <c r="E50" i="13"/>
  <c r="D50" i="13"/>
  <c r="C49" i="13"/>
  <c r="C48" i="13"/>
  <c r="C47" i="13"/>
  <c r="K46" i="13"/>
  <c r="J46" i="13"/>
  <c r="I46" i="13"/>
  <c r="H46" i="13"/>
  <c r="G46" i="13"/>
  <c r="F46" i="13"/>
  <c r="E46" i="13"/>
  <c r="D46" i="13"/>
  <c r="C45" i="13"/>
  <c r="C44" i="13"/>
  <c r="C43" i="13"/>
  <c r="K42" i="13"/>
  <c r="J42" i="13"/>
  <c r="I42" i="13"/>
  <c r="H42" i="13"/>
  <c r="G42" i="13"/>
  <c r="F42" i="13"/>
  <c r="E42" i="13"/>
  <c r="D42" i="13"/>
  <c r="C41" i="13"/>
  <c r="C40" i="13"/>
  <c r="C39" i="13"/>
  <c r="K27" i="13"/>
  <c r="J27" i="13"/>
  <c r="I27" i="13"/>
  <c r="H27" i="13"/>
  <c r="G27" i="13"/>
  <c r="F27" i="13"/>
  <c r="E27" i="13"/>
  <c r="D27" i="13"/>
  <c r="C25" i="13"/>
  <c r="C23" i="13"/>
  <c r="C21" i="13"/>
  <c r="C19" i="13"/>
  <c r="C17" i="13"/>
  <c r="C15" i="13"/>
  <c r="C13" i="13"/>
  <c r="C12" i="13"/>
  <c r="C10" i="13"/>
  <c r="C8" i="13"/>
  <c r="K55" i="12"/>
  <c r="J55" i="12"/>
  <c r="I55" i="12"/>
  <c r="H55" i="12"/>
  <c r="G55" i="12"/>
  <c r="F55" i="12"/>
  <c r="E55" i="12"/>
  <c r="D55" i="12"/>
  <c r="K54" i="12"/>
  <c r="J54" i="12"/>
  <c r="I54" i="12"/>
  <c r="H54" i="12"/>
  <c r="G54" i="12"/>
  <c r="F54" i="12"/>
  <c r="E54" i="12"/>
  <c r="D54" i="12"/>
  <c r="C53" i="12"/>
  <c r="C52" i="12"/>
  <c r="C54" i="12" s="1"/>
  <c r="C51" i="12"/>
  <c r="K50" i="12"/>
  <c r="J50" i="12"/>
  <c r="I50" i="12"/>
  <c r="H50" i="12"/>
  <c r="G50" i="12"/>
  <c r="F50" i="12"/>
  <c r="E50" i="12"/>
  <c r="D50" i="12"/>
  <c r="C49" i="12"/>
  <c r="C48" i="12"/>
  <c r="C47" i="12"/>
  <c r="K46" i="12"/>
  <c r="J46" i="12"/>
  <c r="I46" i="12"/>
  <c r="H46" i="12"/>
  <c r="G46" i="12"/>
  <c r="F46" i="12"/>
  <c r="E46" i="12"/>
  <c r="D46" i="12"/>
  <c r="C45" i="12"/>
  <c r="C44" i="12"/>
  <c r="C43" i="12"/>
  <c r="K42" i="12"/>
  <c r="J42" i="12"/>
  <c r="I42" i="12"/>
  <c r="H42" i="12"/>
  <c r="G42" i="12"/>
  <c r="F42" i="12"/>
  <c r="E42" i="12"/>
  <c r="D42" i="12"/>
  <c r="C41" i="12"/>
  <c r="C40" i="12"/>
  <c r="C39" i="12"/>
  <c r="K27" i="12"/>
  <c r="J27" i="12"/>
  <c r="I27" i="12"/>
  <c r="H27" i="12"/>
  <c r="G27" i="12"/>
  <c r="F27" i="12"/>
  <c r="E27" i="12"/>
  <c r="D27" i="12"/>
  <c r="C25" i="12"/>
  <c r="C23" i="12"/>
  <c r="C21" i="12"/>
  <c r="C19" i="12"/>
  <c r="C17" i="12"/>
  <c r="C15" i="12"/>
  <c r="C13" i="12"/>
  <c r="C12" i="12"/>
  <c r="C10" i="12"/>
  <c r="C8" i="12"/>
  <c r="K55" i="11"/>
  <c r="J55" i="11"/>
  <c r="I55" i="11"/>
  <c r="H55" i="11"/>
  <c r="G55" i="11"/>
  <c r="F55" i="11"/>
  <c r="E55" i="11"/>
  <c r="D55" i="11"/>
  <c r="K54" i="11"/>
  <c r="J54" i="11"/>
  <c r="I54" i="11"/>
  <c r="H54" i="11"/>
  <c r="G54" i="11"/>
  <c r="F54" i="11"/>
  <c r="E54" i="11"/>
  <c r="D54" i="11"/>
  <c r="C53" i="11"/>
  <c r="C52" i="11"/>
  <c r="C51" i="11"/>
  <c r="C54" i="11" s="1"/>
  <c r="K50" i="11"/>
  <c r="J50" i="11"/>
  <c r="I50" i="11"/>
  <c r="H50" i="11"/>
  <c r="G50" i="11"/>
  <c r="F50" i="11"/>
  <c r="E50" i="11"/>
  <c r="D50" i="11"/>
  <c r="C49" i="11"/>
  <c r="C48" i="11"/>
  <c r="C47" i="11"/>
  <c r="K46" i="11"/>
  <c r="J46" i="11"/>
  <c r="I46" i="11"/>
  <c r="H46" i="11"/>
  <c r="G46" i="11"/>
  <c r="F46" i="11"/>
  <c r="E46" i="11"/>
  <c r="D46" i="11"/>
  <c r="C45" i="11"/>
  <c r="C44" i="11"/>
  <c r="C43" i="11"/>
  <c r="K42" i="11"/>
  <c r="J42" i="11"/>
  <c r="I42" i="11"/>
  <c r="H42" i="11"/>
  <c r="G42" i="11"/>
  <c r="F42" i="11"/>
  <c r="E42" i="11"/>
  <c r="D42" i="11"/>
  <c r="C41" i="11"/>
  <c r="C40" i="11"/>
  <c r="C39" i="11"/>
  <c r="K27" i="11"/>
  <c r="J27" i="11"/>
  <c r="I27" i="11"/>
  <c r="H27" i="11"/>
  <c r="G27" i="11"/>
  <c r="F27" i="11"/>
  <c r="E27" i="11"/>
  <c r="D27" i="11"/>
  <c r="C25" i="11"/>
  <c r="C23" i="11"/>
  <c r="C21" i="11"/>
  <c r="C19" i="11"/>
  <c r="C17" i="11"/>
  <c r="C15" i="11"/>
  <c r="C13" i="11"/>
  <c r="C12" i="11"/>
  <c r="C10" i="11"/>
  <c r="C8" i="11"/>
  <c r="K55" i="10"/>
  <c r="J55" i="10"/>
  <c r="I55" i="10"/>
  <c r="H55" i="10"/>
  <c r="G55" i="10"/>
  <c r="F55" i="10"/>
  <c r="E55" i="10"/>
  <c r="D55" i="10"/>
  <c r="K54" i="10"/>
  <c r="J54" i="10"/>
  <c r="I54" i="10"/>
  <c r="H54" i="10"/>
  <c r="G54" i="10"/>
  <c r="F54" i="10"/>
  <c r="E54" i="10"/>
  <c r="D54" i="10"/>
  <c r="C53" i="10"/>
  <c r="C52" i="10"/>
  <c r="C54" i="10" s="1"/>
  <c r="C51" i="10"/>
  <c r="K50" i="10"/>
  <c r="J50" i="10"/>
  <c r="I50" i="10"/>
  <c r="H50" i="10"/>
  <c r="G50" i="10"/>
  <c r="F50" i="10"/>
  <c r="E50" i="10"/>
  <c r="D50" i="10"/>
  <c r="C49" i="10"/>
  <c r="C48" i="10"/>
  <c r="C47" i="10"/>
  <c r="K46" i="10"/>
  <c r="J46" i="10"/>
  <c r="I46" i="10"/>
  <c r="H46" i="10"/>
  <c r="G46" i="10"/>
  <c r="F46" i="10"/>
  <c r="E46" i="10"/>
  <c r="D46" i="10"/>
  <c r="C45" i="10"/>
  <c r="C44" i="10"/>
  <c r="C43" i="10"/>
  <c r="K42" i="10"/>
  <c r="J42" i="10"/>
  <c r="I42" i="10"/>
  <c r="H42" i="10"/>
  <c r="G42" i="10"/>
  <c r="F42" i="10"/>
  <c r="E42" i="10"/>
  <c r="D42" i="10"/>
  <c r="C41" i="10"/>
  <c r="C40" i="10"/>
  <c r="C39" i="10"/>
  <c r="K27" i="10"/>
  <c r="J27" i="10"/>
  <c r="I27" i="10"/>
  <c r="H27" i="10"/>
  <c r="G27" i="10"/>
  <c r="F27" i="10"/>
  <c r="E27" i="10"/>
  <c r="D27" i="10"/>
  <c r="C25" i="10"/>
  <c r="C23" i="10"/>
  <c r="C21" i="10"/>
  <c r="C19" i="10"/>
  <c r="C17" i="10"/>
  <c r="C15" i="10"/>
  <c r="C13" i="10"/>
  <c r="C12" i="10"/>
  <c r="C10" i="10"/>
  <c r="C8" i="10"/>
  <c r="K55" i="9"/>
  <c r="J55" i="9"/>
  <c r="I55" i="9"/>
  <c r="H55" i="9"/>
  <c r="G55" i="9"/>
  <c r="F55" i="9"/>
  <c r="E55" i="9"/>
  <c r="D55" i="9"/>
  <c r="K54" i="9"/>
  <c r="J54" i="9"/>
  <c r="I54" i="9"/>
  <c r="H54" i="9"/>
  <c r="G54" i="9"/>
  <c r="F54" i="9"/>
  <c r="E54" i="9"/>
  <c r="D54" i="9"/>
  <c r="C53" i="9"/>
  <c r="C52" i="9"/>
  <c r="C51" i="9"/>
  <c r="K50" i="9"/>
  <c r="J50" i="9"/>
  <c r="I50" i="9"/>
  <c r="H50" i="9"/>
  <c r="G50" i="9"/>
  <c r="F50" i="9"/>
  <c r="E50" i="9"/>
  <c r="D50" i="9"/>
  <c r="C49" i="9"/>
  <c r="C48" i="9"/>
  <c r="C47" i="9"/>
  <c r="K46" i="9"/>
  <c r="J46" i="9"/>
  <c r="I46" i="9"/>
  <c r="H46" i="9"/>
  <c r="G46" i="9"/>
  <c r="F46" i="9"/>
  <c r="E46" i="9"/>
  <c r="D46" i="9"/>
  <c r="C45" i="9"/>
  <c r="C44" i="9"/>
  <c r="C43" i="9"/>
  <c r="K42" i="9"/>
  <c r="J42" i="9"/>
  <c r="I42" i="9"/>
  <c r="H42" i="9"/>
  <c r="G42" i="9"/>
  <c r="F42" i="9"/>
  <c r="E42" i="9"/>
  <c r="D42" i="9"/>
  <c r="C41" i="9"/>
  <c r="C40" i="9"/>
  <c r="C39" i="9"/>
  <c r="K27" i="9"/>
  <c r="J27" i="9"/>
  <c r="I27" i="9"/>
  <c r="H27" i="9"/>
  <c r="G27" i="9"/>
  <c r="F27" i="9"/>
  <c r="E27" i="9"/>
  <c r="D27" i="9"/>
  <c r="C25" i="9"/>
  <c r="C23" i="9"/>
  <c r="C21" i="9"/>
  <c r="C19" i="9"/>
  <c r="C17" i="9"/>
  <c r="C15" i="9"/>
  <c r="C13" i="9"/>
  <c r="C12" i="9"/>
  <c r="C10" i="9"/>
  <c r="C8" i="9"/>
  <c r="K56" i="8"/>
  <c r="J56" i="8"/>
  <c r="I56" i="8"/>
  <c r="H56" i="8"/>
  <c r="G56" i="8"/>
  <c r="F56" i="8"/>
  <c r="E56" i="8"/>
  <c r="D56" i="8"/>
  <c r="K55" i="8"/>
  <c r="J55" i="8"/>
  <c r="I55" i="8"/>
  <c r="H55" i="8"/>
  <c r="G55" i="8"/>
  <c r="F55" i="8"/>
  <c r="E55" i="8"/>
  <c r="D55" i="8"/>
  <c r="C54" i="8"/>
  <c r="C53" i="8"/>
  <c r="C52" i="8"/>
  <c r="K51" i="8"/>
  <c r="J51" i="8"/>
  <c r="I51" i="8"/>
  <c r="H51" i="8"/>
  <c r="G51" i="8"/>
  <c r="F51" i="8"/>
  <c r="E51" i="8"/>
  <c r="D51" i="8"/>
  <c r="C50" i="8"/>
  <c r="C49" i="8"/>
  <c r="C48" i="8"/>
  <c r="K47" i="8"/>
  <c r="J47" i="8"/>
  <c r="I47" i="8"/>
  <c r="H47" i="8"/>
  <c r="G47" i="8"/>
  <c r="F47" i="8"/>
  <c r="E47" i="8"/>
  <c r="D47" i="8"/>
  <c r="C46" i="8"/>
  <c r="C45" i="8"/>
  <c r="C44" i="8"/>
  <c r="C47" i="8" s="1"/>
  <c r="K43" i="8"/>
  <c r="J43" i="8"/>
  <c r="I43" i="8"/>
  <c r="H43" i="8"/>
  <c r="G43" i="8"/>
  <c r="F43" i="8"/>
  <c r="E43" i="8"/>
  <c r="D43" i="8"/>
  <c r="C42" i="8"/>
  <c r="C41" i="8"/>
  <c r="C40" i="8"/>
  <c r="K28" i="8"/>
  <c r="J28" i="8"/>
  <c r="I28" i="8"/>
  <c r="H28" i="8"/>
  <c r="G28" i="8"/>
  <c r="F28" i="8"/>
  <c r="E28" i="8"/>
  <c r="D28" i="8"/>
  <c r="C26" i="8"/>
  <c r="C24" i="8"/>
  <c r="C22" i="8"/>
  <c r="C20" i="8"/>
  <c r="C18" i="8"/>
  <c r="C16" i="8"/>
  <c r="C14" i="8"/>
  <c r="C13" i="8"/>
  <c r="C11" i="8"/>
  <c r="C9" i="8"/>
  <c r="N54" i="7"/>
  <c r="M54" i="7"/>
  <c r="L54" i="7"/>
  <c r="K54" i="7"/>
  <c r="J54" i="7"/>
  <c r="I54" i="7"/>
  <c r="H54" i="7"/>
  <c r="G54" i="7"/>
  <c r="N53" i="7"/>
  <c r="M53" i="7"/>
  <c r="L53" i="7"/>
  <c r="K53" i="7"/>
  <c r="J53" i="7"/>
  <c r="I53" i="7"/>
  <c r="H53" i="7"/>
  <c r="G53" i="7"/>
  <c r="F52" i="7"/>
  <c r="F51" i="7"/>
  <c r="F50" i="7"/>
  <c r="N49" i="7"/>
  <c r="M49" i="7"/>
  <c r="L49" i="7"/>
  <c r="K49" i="7"/>
  <c r="J49" i="7"/>
  <c r="I49" i="7"/>
  <c r="H49" i="7"/>
  <c r="G49" i="7"/>
  <c r="F48" i="7"/>
  <c r="F47" i="7"/>
  <c r="F46" i="7"/>
  <c r="N45" i="7"/>
  <c r="M45" i="7"/>
  <c r="L45" i="7"/>
  <c r="K45" i="7"/>
  <c r="J45" i="7"/>
  <c r="I45" i="7"/>
  <c r="H45" i="7"/>
  <c r="G45" i="7"/>
  <c r="F44" i="7"/>
  <c r="F43" i="7"/>
  <c r="F42" i="7"/>
  <c r="N41" i="7"/>
  <c r="M41" i="7"/>
  <c r="L41" i="7"/>
  <c r="K41" i="7"/>
  <c r="J41" i="7"/>
  <c r="I41" i="7"/>
  <c r="H41" i="7"/>
  <c r="G41" i="7"/>
  <c r="F40" i="7"/>
  <c r="F39" i="7"/>
  <c r="F38" i="7"/>
  <c r="K24" i="7"/>
  <c r="J24" i="7"/>
  <c r="G24" i="7"/>
  <c r="F24" i="7" s="1"/>
  <c r="K22" i="7"/>
  <c r="J22" i="7"/>
  <c r="H22" i="7"/>
  <c r="G22" i="7"/>
  <c r="F22" i="7" s="1"/>
  <c r="M20" i="7"/>
  <c r="L20" i="7"/>
  <c r="K20" i="7"/>
  <c r="J20" i="7"/>
  <c r="H20" i="7"/>
  <c r="G20" i="7"/>
  <c r="N18" i="7"/>
  <c r="M18" i="7"/>
  <c r="L18" i="7"/>
  <c r="K18" i="7"/>
  <c r="J18" i="7"/>
  <c r="I18" i="7"/>
  <c r="H18" i="7"/>
  <c r="G18" i="7"/>
  <c r="K16" i="7"/>
  <c r="J16" i="7"/>
  <c r="H16" i="7"/>
  <c r="G16" i="7"/>
  <c r="K14" i="7"/>
  <c r="J14" i="7"/>
  <c r="H14" i="7"/>
  <c r="G14" i="7"/>
  <c r="K12" i="7"/>
  <c r="J12" i="7"/>
  <c r="I12" i="7"/>
  <c r="F12" i="7" s="1"/>
  <c r="N11" i="7"/>
  <c r="M11" i="7"/>
  <c r="L11" i="7"/>
  <c r="J11" i="7"/>
  <c r="H11" i="7"/>
  <c r="G11" i="7"/>
  <c r="K9" i="7"/>
  <c r="J9" i="7"/>
  <c r="I9" i="7"/>
  <c r="H9" i="7"/>
  <c r="G9" i="7"/>
  <c r="N7" i="7"/>
  <c r="M7" i="7"/>
  <c r="M26" i="7" s="1"/>
  <c r="L7" i="7"/>
  <c r="K7" i="7"/>
  <c r="J7" i="7"/>
  <c r="I7" i="7"/>
  <c r="H7" i="7"/>
  <c r="G7" i="7"/>
  <c r="O54" i="6"/>
  <c r="N54" i="6"/>
  <c r="M54" i="6"/>
  <c r="L54" i="6"/>
  <c r="K54" i="6"/>
  <c r="J54" i="6"/>
  <c r="I54" i="6"/>
  <c r="H54" i="6"/>
  <c r="G54" i="6"/>
  <c r="O53" i="6"/>
  <c r="N53" i="6"/>
  <c r="M53" i="6"/>
  <c r="L53" i="6"/>
  <c r="K53" i="6"/>
  <c r="J53" i="6"/>
  <c r="I53" i="6"/>
  <c r="H53" i="6"/>
  <c r="G53" i="6"/>
  <c r="F52" i="6"/>
  <c r="F51" i="6"/>
  <c r="F50" i="6"/>
  <c r="O49" i="6"/>
  <c r="N49" i="6"/>
  <c r="M49" i="6"/>
  <c r="L49" i="6"/>
  <c r="K49" i="6"/>
  <c r="J49" i="6"/>
  <c r="I49" i="6"/>
  <c r="H49" i="6"/>
  <c r="G49" i="6"/>
  <c r="F48" i="6"/>
  <c r="F47" i="6"/>
  <c r="F46" i="6"/>
  <c r="O45" i="6"/>
  <c r="N45" i="6"/>
  <c r="M45" i="6"/>
  <c r="L45" i="6"/>
  <c r="K45" i="6"/>
  <c r="J45" i="6"/>
  <c r="I45" i="6"/>
  <c r="H45" i="6"/>
  <c r="G45" i="6"/>
  <c r="F44" i="6"/>
  <c r="F43" i="6"/>
  <c r="F42" i="6"/>
  <c r="O41" i="6"/>
  <c r="N41" i="6"/>
  <c r="M41" i="6"/>
  <c r="L41" i="6"/>
  <c r="K41" i="6"/>
  <c r="J41" i="6"/>
  <c r="I41" i="6"/>
  <c r="H41" i="6"/>
  <c r="G41" i="6"/>
  <c r="F40" i="6"/>
  <c r="F39" i="6"/>
  <c r="F38" i="6"/>
  <c r="O26" i="6"/>
  <c r="N26" i="6"/>
  <c r="M26" i="6"/>
  <c r="L26" i="6"/>
  <c r="K26" i="6"/>
  <c r="J26" i="6"/>
  <c r="I26" i="6"/>
  <c r="H26" i="6"/>
  <c r="G26" i="6"/>
  <c r="F24" i="6"/>
  <c r="F22" i="6"/>
  <c r="F20" i="6"/>
  <c r="F18" i="6"/>
  <c r="F16" i="6"/>
  <c r="F14" i="6"/>
  <c r="F12" i="6"/>
  <c r="F11" i="6"/>
  <c r="F9" i="6"/>
  <c r="F7" i="6"/>
  <c r="N54" i="5"/>
  <c r="M54" i="5"/>
  <c r="L54" i="5"/>
  <c r="K54" i="5"/>
  <c r="J54" i="5"/>
  <c r="I54" i="5"/>
  <c r="H54" i="5"/>
  <c r="G54" i="5"/>
  <c r="N53" i="5"/>
  <c r="M53" i="5"/>
  <c r="L53" i="5"/>
  <c r="K53" i="5"/>
  <c r="J53" i="5"/>
  <c r="I53" i="5"/>
  <c r="H53" i="5"/>
  <c r="G53" i="5"/>
  <c r="F52" i="5"/>
  <c r="F51" i="5"/>
  <c r="F50" i="5"/>
  <c r="N49" i="5"/>
  <c r="M49" i="5"/>
  <c r="L49" i="5"/>
  <c r="K49" i="5"/>
  <c r="J49" i="5"/>
  <c r="I49" i="5"/>
  <c r="H49" i="5"/>
  <c r="G49" i="5"/>
  <c r="F48" i="5"/>
  <c r="F47" i="5"/>
  <c r="F46" i="5"/>
  <c r="N45" i="5"/>
  <c r="M45" i="5"/>
  <c r="L45" i="5"/>
  <c r="K45" i="5"/>
  <c r="J45" i="5"/>
  <c r="I45" i="5"/>
  <c r="H45" i="5"/>
  <c r="G45" i="5"/>
  <c r="F44" i="5"/>
  <c r="F43" i="5"/>
  <c r="F42" i="5"/>
  <c r="N41" i="5"/>
  <c r="M41" i="5"/>
  <c r="L41" i="5"/>
  <c r="K41" i="5"/>
  <c r="J41" i="5"/>
  <c r="I41" i="5"/>
  <c r="H41" i="5"/>
  <c r="G41" i="5"/>
  <c r="F40" i="5"/>
  <c r="F39" i="5"/>
  <c r="F38" i="5"/>
  <c r="N26" i="5"/>
  <c r="M26" i="5"/>
  <c r="L26" i="5"/>
  <c r="K26" i="5"/>
  <c r="J26" i="5"/>
  <c r="I26" i="5"/>
  <c r="H26" i="5"/>
  <c r="G26" i="5"/>
  <c r="F24" i="5"/>
  <c r="F22" i="5"/>
  <c r="F20" i="5"/>
  <c r="F18" i="5"/>
  <c r="F16" i="5"/>
  <c r="F14" i="5"/>
  <c r="F12" i="5"/>
  <c r="F11" i="5"/>
  <c r="F9" i="5"/>
  <c r="F7" i="5"/>
  <c r="O54" i="4"/>
  <c r="N54" i="4"/>
  <c r="M54" i="4"/>
  <c r="L54" i="4"/>
  <c r="K54" i="4"/>
  <c r="J54" i="4"/>
  <c r="I54" i="4"/>
  <c r="H54" i="4"/>
  <c r="G54" i="4"/>
  <c r="O53" i="4"/>
  <c r="N53" i="4"/>
  <c r="M53" i="4"/>
  <c r="L53" i="4"/>
  <c r="K53" i="4"/>
  <c r="J53" i="4"/>
  <c r="I53" i="4"/>
  <c r="H53" i="4"/>
  <c r="G53" i="4"/>
  <c r="F52" i="4"/>
  <c r="F51" i="4"/>
  <c r="F50" i="4"/>
  <c r="O49" i="4"/>
  <c r="N49" i="4"/>
  <c r="M49" i="4"/>
  <c r="L49" i="4"/>
  <c r="K49" i="4"/>
  <c r="J49" i="4"/>
  <c r="I49" i="4"/>
  <c r="H49" i="4"/>
  <c r="G49" i="4"/>
  <c r="F48" i="4"/>
  <c r="F47" i="4"/>
  <c r="F46" i="4"/>
  <c r="F49" i="4" s="1"/>
  <c r="O45" i="4"/>
  <c r="N45" i="4"/>
  <c r="M45" i="4"/>
  <c r="L45" i="4"/>
  <c r="K45" i="4"/>
  <c r="J45" i="4"/>
  <c r="I45" i="4"/>
  <c r="H45" i="4"/>
  <c r="G45" i="4"/>
  <c r="F44" i="4"/>
  <c r="F43" i="4"/>
  <c r="F42" i="4"/>
  <c r="O41" i="4"/>
  <c r="N41" i="4"/>
  <c r="M41" i="4"/>
  <c r="L41" i="4"/>
  <c r="K41" i="4"/>
  <c r="J41" i="4"/>
  <c r="I41" i="4"/>
  <c r="H41" i="4"/>
  <c r="G41" i="4"/>
  <c r="F40" i="4"/>
  <c r="F39" i="4"/>
  <c r="F38" i="4"/>
  <c r="K24" i="4"/>
  <c r="F24" i="4" s="1"/>
  <c r="K22" i="4"/>
  <c r="J22" i="4"/>
  <c r="H22" i="4"/>
  <c r="G22" i="4"/>
  <c r="M20" i="4"/>
  <c r="L20" i="4"/>
  <c r="K20" i="4"/>
  <c r="J20" i="4"/>
  <c r="H20" i="4"/>
  <c r="G20" i="4"/>
  <c r="F20" i="4" s="1"/>
  <c r="N18" i="4"/>
  <c r="M18" i="4"/>
  <c r="L18" i="4"/>
  <c r="K18" i="4"/>
  <c r="J18" i="4"/>
  <c r="I18" i="4"/>
  <c r="H18" i="4"/>
  <c r="G18" i="4"/>
  <c r="K16" i="4"/>
  <c r="J16" i="4"/>
  <c r="H16" i="4"/>
  <c r="G16" i="4"/>
  <c r="F16" i="4" s="1"/>
  <c r="K14" i="4"/>
  <c r="J14" i="4"/>
  <c r="H14" i="4"/>
  <c r="G14" i="4"/>
  <c r="K12" i="4"/>
  <c r="J12" i="4"/>
  <c r="I12" i="4"/>
  <c r="F12" i="4" s="1"/>
  <c r="N11" i="4"/>
  <c r="M11" i="4"/>
  <c r="L11" i="4"/>
  <c r="K11" i="4"/>
  <c r="J11" i="4"/>
  <c r="H11" i="4"/>
  <c r="G11" i="4"/>
  <c r="O9" i="4"/>
  <c r="O26" i="4" s="1"/>
  <c r="K9" i="4"/>
  <c r="J9" i="4"/>
  <c r="I9" i="4"/>
  <c r="H9" i="4"/>
  <c r="G9" i="4"/>
  <c r="N7" i="4"/>
  <c r="M7" i="4"/>
  <c r="M26" i="4" s="1"/>
  <c r="L7" i="4"/>
  <c r="L26" i="4" s="1"/>
  <c r="K7" i="4"/>
  <c r="J7" i="4"/>
  <c r="I7" i="4"/>
  <c r="I26" i="4" s="1"/>
  <c r="H7" i="4"/>
  <c r="G7" i="4"/>
  <c r="F9" i="7" l="1"/>
  <c r="I26" i="7"/>
  <c r="J26" i="4"/>
  <c r="F26" i="6"/>
  <c r="K26" i="7"/>
  <c r="F54" i="7"/>
  <c r="C27" i="10"/>
  <c r="C55" i="11"/>
  <c r="C27" i="14"/>
  <c r="C50" i="14"/>
  <c r="C55" i="15"/>
  <c r="F44" i="21"/>
  <c r="F41" i="4"/>
  <c r="L26" i="7"/>
  <c r="F16" i="7"/>
  <c r="F53" i="7"/>
  <c r="F11" i="7"/>
  <c r="F14" i="7"/>
  <c r="N26" i="4"/>
  <c r="F54" i="5"/>
  <c r="F41" i="6"/>
  <c r="F49" i="6"/>
  <c r="G26" i="7"/>
  <c r="F20" i="7"/>
  <c r="F45" i="7"/>
  <c r="C28" i="8"/>
  <c r="C51" i="8"/>
  <c r="C55" i="9"/>
  <c r="C27" i="12"/>
  <c r="C55" i="13"/>
  <c r="C46" i="15"/>
  <c r="C27" i="16"/>
  <c r="C55" i="17"/>
  <c r="F48" i="21"/>
  <c r="F9" i="4"/>
  <c r="F18" i="4"/>
  <c r="F45" i="4"/>
  <c r="F53" i="4"/>
  <c r="F53" i="5"/>
  <c r="C54" i="9"/>
  <c r="C54" i="13"/>
  <c r="C46" i="14"/>
  <c r="C54" i="17"/>
  <c r="C41" i="19"/>
  <c r="C49" i="19"/>
  <c r="F11" i="4"/>
  <c r="H26" i="7"/>
  <c r="F18" i="7"/>
  <c r="C50" i="10"/>
  <c r="C50" i="12"/>
  <c r="C42" i="15"/>
  <c r="C50" i="16"/>
  <c r="C26" i="18"/>
  <c r="F53" i="20"/>
  <c r="G26" i="4"/>
  <c r="K26" i="4"/>
  <c r="F26" i="5"/>
  <c r="F49" i="5"/>
  <c r="F49" i="7"/>
  <c r="C56" i="8"/>
  <c r="C27" i="9"/>
  <c r="C50" i="9"/>
  <c r="C55" i="10"/>
  <c r="C46" i="10"/>
  <c r="C27" i="11"/>
  <c r="C50" i="11"/>
  <c r="C55" i="12"/>
  <c r="C46" i="12"/>
  <c r="C27" i="13"/>
  <c r="C50" i="13"/>
  <c r="C55" i="14"/>
  <c r="C27" i="15"/>
  <c r="C54" i="15"/>
  <c r="C55" i="16"/>
  <c r="C46" i="16"/>
  <c r="C27" i="17"/>
  <c r="C50" i="17"/>
  <c r="C41" i="18"/>
  <c r="C49" i="18"/>
  <c r="F25" i="20"/>
  <c r="F44" i="20"/>
  <c r="F53" i="21"/>
  <c r="H26" i="4"/>
  <c r="F14" i="4"/>
  <c r="F22" i="4"/>
  <c r="F45" i="5"/>
  <c r="F54" i="6"/>
  <c r="F45" i="6"/>
  <c r="F53" i="6"/>
  <c r="J26" i="7"/>
  <c r="N26" i="7"/>
  <c r="C55" i="8"/>
  <c r="C46" i="9"/>
  <c r="C42" i="10"/>
  <c r="C46" i="11"/>
  <c r="C42" i="12"/>
  <c r="C46" i="13"/>
  <c r="C54" i="14"/>
  <c r="C50" i="15"/>
  <c r="C42" i="16"/>
  <c r="C46" i="17"/>
  <c r="C45" i="18"/>
  <c r="C53" i="18"/>
  <c r="C26" i="19"/>
  <c r="F48" i="20"/>
  <c r="F25" i="21"/>
  <c r="F40" i="21"/>
  <c r="F40" i="20"/>
  <c r="C54" i="19"/>
  <c r="C54" i="18"/>
  <c r="C42" i="17"/>
  <c r="C42" i="14"/>
  <c r="C42" i="13"/>
  <c r="C42" i="11"/>
  <c r="C42" i="9"/>
  <c r="C43" i="8"/>
  <c r="F41" i="7"/>
  <c r="F7" i="7"/>
  <c r="F41" i="5"/>
  <c r="F54" i="4"/>
  <c r="F7" i="4"/>
  <c r="F26" i="7" l="1"/>
  <c r="F26" i="4"/>
</calcChain>
</file>

<file path=xl/sharedStrings.xml><?xml version="1.0" encoding="utf-8"?>
<sst xmlns="http://schemas.openxmlformats.org/spreadsheetml/2006/main" count="1353" uniqueCount="62">
  <si>
    <t>INTRODUÇÕES NO CONSUMO</t>
  </si>
  <si>
    <t xml:space="preserve">          </t>
  </si>
  <si>
    <t>ILHAS</t>
  </si>
  <si>
    <t>TOTAL</t>
  </si>
  <si>
    <t>SUPER</t>
  </si>
  <si>
    <t>S/CHUMBO</t>
  </si>
  <si>
    <t>PET.ILUM.</t>
  </si>
  <si>
    <t>GOIL DIV.</t>
  </si>
  <si>
    <t>GOIL EDA</t>
  </si>
  <si>
    <t>FUEL INDUS.</t>
  </si>
  <si>
    <t>FUEL - EDA</t>
  </si>
  <si>
    <t xml:space="preserve">G. P. L. </t>
  </si>
  <si>
    <t>AVIAÇÃO</t>
  </si>
  <si>
    <t>SÃO MIGUEL</t>
  </si>
  <si>
    <t>STA MARIA</t>
  </si>
  <si>
    <t>TERCEIRA</t>
  </si>
  <si>
    <t>LAJES</t>
  </si>
  <si>
    <t>GRACIOSA</t>
  </si>
  <si>
    <t>SÃO JORGE</t>
  </si>
  <si>
    <t>FAIAL</t>
  </si>
  <si>
    <t>PICO</t>
  </si>
  <si>
    <t>FLORES</t>
  </si>
  <si>
    <t>CORVO</t>
  </si>
  <si>
    <t>FONTE: Alfândega de Ponta Delgada</t>
  </si>
  <si>
    <t>MESES</t>
  </si>
  <si>
    <t>FUEL IND.</t>
  </si>
  <si>
    <t>JANEIRO</t>
  </si>
  <si>
    <t>FEVEREIRO</t>
  </si>
  <si>
    <t>MARÇO</t>
  </si>
  <si>
    <t>ABRIL</t>
  </si>
  <si>
    <t>MAIO</t>
  </si>
  <si>
    <t>JUNHO</t>
  </si>
  <si>
    <t>JULHO</t>
  </si>
  <si>
    <t xml:space="preserve"> AGOSTO</t>
  </si>
  <si>
    <t>SETEMBRO</t>
  </si>
  <si>
    <t>OUTUBRO</t>
  </si>
  <si>
    <t>NOVEMBRO</t>
  </si>
  <si>
    <t>DEZEMBRO</t>
  </si>
  <si>
    <t>TOTAL ACUM.</t>
  </si>
  <si>
    <t>1998</t>
  </si>
  <si>
    <t>S/Chumbo 95</t>
  </si>
  <si>
    <t>AGOSTO</t>
  </si>
  <si>
    <t>1999</t>
  </si>
  <si>
    <t>S/Chumbo 98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</si>
  <si>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</si>
  <si>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</si>
  <si>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</si>
  <si>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</si>
  <si>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</si>
  <si>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</si>
  <si>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</si>
  <si>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</si>
  <si>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</si>
  <si>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</si>
  <si>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Unidade: Litros excepto fuéis e G.P.L. que estão em kilos</t>
  </si>
  <si>
    <t>2011</t>
  </si>
  <si>
    <t>JET A1</t>
  </si>
  <si>
    <t>2012</t>
  </si>
  <si>
    <t>2013</t>
  </si>
  <si>
    <t>ÓLEOS</t>
  </si>
  <si>
    <t>GOIL COL. MARC.</t>
  </si>
  <si>
    <t>GOIL RODOVIÁRIO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</si>
</sst>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.#00"/>
    <numFmt numFmtId="165" formatCode="General_)"/>
    <numFmt numFmtId="166" formatCode="#,##0.000_);\(#,##0.000\)"/>
  </numFmts>
  <fonts count="14" x14ac:knownFonts="1">
    <font>
      <sz val="11"/>
      <color theme="1"/>
      <name val="Calibri"/>
      <family val="2"/>
      <scheme val="minor"/>
    </font>
    <font>
      <sz val="12"/>
      <name val="Courier"/>
    </font>
    <font>
      <b/>
      <sz val="12"/>
      <name val="Times New Roman"/>
      <family val="1"/>
    </font>
    <font>
      <sz val="10"/>
      <name val="Arial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1"/>
      <name val="Courier"/>
    </font>
    <font>
      <b/>
      <sz val="11"/>
      <color indexed="8"/>
      <name val="Times New Roman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mediumGray">
        <bgColor indexed="9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7" fontId="1" fillId="0" borderId="0"/>
    <xf numFmtId="0" fontId="3" fillId="0" borderId="0"/>
    <xf numFmtId="37" fontId="1" fillId="0" borderId="0"/>
    <xf numFmtId="37" fontId="1" fillId="0" borderId="0"/>
    <xf numFmtId="165" fontId="1" fillId="0" borderId="0"/>
  </cellStyleXfs>
  <cellXfs count="84">
    <xf numFmtId="0" fontId="0" fillId="0" borderId="0" xfId="0"/>
    <xf numFmtId="37" fontId="1" fillId="0" borderId="0" xfId="1"/>
    <xf numFmtId="37" fontId="2" fillId="0" borderId="0" xfId="1" applyFont="1" applyAlignment="1">
      <alignment horizontal="centerContinuous"/>
    </xf>
    <xf numFmtId="0" fontId="3" fillId="0" borderId="0" xfId="2" applyAlignment="1">
      <alignment horizontal="centerContinuous"/>
    </xf>
    <xf numFmtId="37" fontId="4" fillId="0" borderId="0" xfId="1" applyFont="1" applyAlignment="1">
      <alignment horizontal="centerContinuous"/>
    </xf>
    <xf numFmtId="37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37" fontId="2" fillId="0" borderId="0" xfId="1" applyFont="1"/>
    <xf numFmtId="37" fontId="4" fillId="0" borderId="0" xfId="1" applyFont="1"/>
    <xf numFmtId="37" fontId="2" fillId="0" borderId="1" xfId="1" applyFont="1" applyBorder="1" applyAlignment="1">
      <alignment horizontal="center"/>
    </xf>
    <xf numFmtId="37" fontId="5" fillId="0" borderId="2" xfId="1" applyFont="1" applyBorder="1" applyAlignment="1">
      <alignment horizontal="center"/>
    </xf>
    <xf numFmtId="37" fontId="5" fillId="0" borderId="3" xfId="1" applyFont="1" applyBorder="1" applyAlignment="1">
      <alignment horizontal="center"/>
    </xf>
    <xf numFmtId="37" fontId="2" fillId="0" borderId="4" xfId="1" applyFont="1" applyBorder="1"/>
    <xf numFmtId="37" fontId="6" fillId="0" borderId="5" xfId="1" applyFont="1" applyBorder="1"/>
    <xf numFmtId="37" fontId="7" fillId="0" borderId="6" xfId="1" applyFont="1" applyBorder="1" applyAlignment="1">
      <alignment horizontal="center"/>
    </xf>
    <xf numFmtId="37" fontId="7" fillId="0" borderId="6" xfId="1" applyFont="1" applyBorder="1"/>
    <xf numFmtId="37" fontId="7" fillId="0" borderId="7" xfId="1" applyFont="1" applyBorder="1"/>
    <xf numFmtId="37" fontId="8" fillId="0" borderId="8" xfId="1" applyFont="1" applyBorder="1"/>
    <xf numFmtId="37" fontId="2" fillId="0" borderId="5" xfId="1" applyFont="1" applyBorder="1" applyAlignment="1">
      <alignment horizontal="center"/>
    </xf>
    <xf numFmtId="37" fontId="1" fillId="0" borderId="0" xfId="1" applyAlignment="1">
      <alignment horizontal="center"/>
    </xf>
    <xf numFmtId="37" fontId="9" fillId="2" borderId="5" xfId="1" applyFont="1" applyFill="1" applyBorder="1" applyAlignment="1">
      <alignment horizontal="center"/>
    </xf>
    <xf numFmtId="37" fontId="10" fillId="0" borderId="6" xfId="1" applyFont="1" applyBorder="1" applyAlignment="1">
      <alignment horizontal="center"/>
    </xf>
    <xf numFmtId="37" fontId="10" fillId="0" borderId="9" xfId="1" applyFont="1" applyBorder="1" applyAlignment="1">
      <alignment horizontal="center"/>
    </xf>
    <xf numFmtId="37" fontId="2" fillId="0" borderId="10" xfId="1" applyFont="1" applyBorder="1" applyAlignment="1">
      <alignment horizontal="center"/>
    </xf>
    <xf numFmtId="37" fontId="7" fillId="0" borderId="11" xfId="1" applyFont="1" applyBorder="1" applyAlignment="1">
      <alignment horizontal="center"/>
    </xf>
    <xf numFmtId="37" fontId="7" fillId="0" borderId="11" xfId="1" applyFont="1" applyBorder="1"/>
    <xf numFmtId="37" fontId="7" fillId="0" borderId="12" xfId="1" applyFont="1" applyBorder="1"/>
    <xf numFmtId="37" fontId="8" fillId="0" borderId="13" xfId="1" applyFont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/>
    <xf numFmtId="37" fontId="11" fillId="0" borderId="0" xfId="1" applyFont="1"/>
    <xf numFmtId="37" fontId="6" fillId="0" borderId="0" xfId="3" applyFont="1" applyAlignment="1">
      <alignment horizontal="left"/>
    </xf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 applyAlignment="1">
      <alignment horizontal="center"/>
    </xf>
    <xf numFmtId="0" fontId="3" fillId="0" borderId="0" xfId="2"/>
    <xf numFmtId="164" fontId="2" fillId="0" borderId="0" xfId="1" applyNumberFormat="1" applyFont="1"/>
    <xf numFmtId="164" fontId="2" fillId="0" borderId="0" xfId="1" applyNumberFormat="1" applyFont="1" applyAlignment="1">
      <alignment horizontal="left"/>
    </xf>
    <xf numFmtId="164" fontId="4" fillId="0" borderId="0" xfId="1" applyNumberFormat="1" applyFont="1"/>
    <xf numFmtId="37" fontId="2" fillId="0" borderId="14" xfId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Continuous"/>
    </xf>
    <xf numFmtId="164" fontId="5" fillId="0" borderId="16" xfId="1" applyNumberFormat="1" applyFont="1" applyBorder="1" applyAlignment="1">
      <alignment horizontal="centerContinuous"/>
    </xf>
    <xf numFmtId="37" fontId="2" fillId="0" borderId="17" xfId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7" fillId="0" borderId="18" xfId="1" applyNumberFormat="1" applyFont="1" applyBorder="1"/>
    <xf numFmtId="164" fontId="7" fillId="0" borderId="19" xfId="1" applyNumberFormat="1" applyFont="1" applyBorder="1"/>
    <xf numFmtId="37" fontId="7" fillId="0" borderId="18" xfId="1" applyFont="1" applyBorder="1" applyAlignment="1">
      <alignment horizontal="center"/>
    </xf>
    <xf numFmtId="37" fontId="7" fillId="0" borderId="18" xfId="1" applyFont="1" applyBorder="1"/>
    <xf numFmtId="37" fontId="7" fillId="0" borderId="19" xfId="1" applyFont="1" applyBorder="1"/>
    <xf numFmtId="37" fontId="9" fillId="0" borderId="17" xfId="1" applyFont="1" applyBorder="1" applyAlignment="1">
      <alignment horizontal="center"/>
    </xf>
    <xf numFmtId="37" fontId="10" fillId="0" borderId="18" xfId="1" applyFont="1" applyBorder="1" applyAlignment="1">
      <alignment horizontal="center"/>
    </xf>
    <xf numFmtId="37" fontId="10" fillId="0" borderId="18" xfId="1" applyFont="1" applyBorder="1"/>
    <xf numFmtId="37" fontId="10" fillId="0" borderId="19" xfId="1" applyFont="1" applyBorder="1"/>
    <xf numFmtId="37" fontId="10" fillId="0" borderId="8" xfId="1" applyFont="1" applyBorder="1"/>
    <xf numFmtId="37" fontId="9" fillId="2" borderId="17" xfId="1" applyFont="1" applyFill="1" applyBorder="1" applyAlignment="1">
      <alignment horizontal="center"/>
    </xf>
    <xf numFmtId="37" fontId="2" fillId="0" borderId="20" xfId="1" applyFont="1" applyBorder="1" applyAlignment="1">
      <alignment horizontal="center"/>
    </xf>
    <xf numFmtId="37" fontId="8" fillId="0" borderId="0" xfId="1" applyFont="1" applyAlignment="1">
      <alignment horizontal="center"/>
    </xf>
    <xf numFmtId="37" fontId="8" fillId="0" borderId="0" xfId="1" applyFont="1"/>
    <xf numFmtId="37" fontId="8" fillId="0" borderId="0" xfId="3" applyFont="1" applyAlignment="1">
      <alignment horizontal="left"/>
    </xf>
    <xf numFmtId="37" fontId="12" fillId="0" borderId="2" xfId="4" applyFont="1" applyBorder="1" applyAlignment="1">
      <alignment horizontal="center"/>
    </xf>
    <xf numFmtId="37" fontId="5" fillId="0" borderId="21" xfId="1" applyFont="1" applyBorder="1" applyAlignment="1">
      <alignment horizontal="center"/>
    </xf>
    <xf numFmtId="37" fontId="7" fillId="0" borderId="9" xfId="1" applyFont="1" applyBorder="1"/>
    <xf numFmtId="37" fontId="2" fillId="3" borderId="5" xfId="1" applyFont="1" applyFill="1" applyBorder="1" applyAlignment="1">
      <alignment horizontal="center"/>
    </xf>
    <xf numFmtId="37" fontId="7" fillId="0" borderId="9" xfId="1" applyFont="1" applyBorder="1" applyAlignment="1">
      <alignment horizontal="center"/>
    </xf>
    <xf numFmtId="37" fontId="7" fillId="0" borderId="13" xfId="1" applyFont="1" applyBorder="1"/>
    <xf numFmtId="164" fontId="7" fillId="0" borderId="8" xfId="1" applyNumberFormat="1" applyFont="1" applyBorder="1"/>
    <xf numFmtId="37" fontId="7" fillId="0" borderId="8" xfId="1" applyFont="1" applyBorder="1"/>
    <xf numFmtId="166" fontId="8" fillId="3" borderId="22" xfId="5" applyNumberFormat="1" applyFont="1" applyFill="1" applyBorder="1" applyAlignment="1">
      <alignment horizontal="center"/>
    </xf>
    <xf numFmtId="37" fontId="13" fillId="0" borderId="0" xfId="3" applyFont="1" applyAlignment="1">
      <alignment horizontal="center"/>
    </xf>
    <xf numFmtId="37" fontId="1" fillId="0" borderId="0" xfId="1" applyAlignment="1">
      <alignment horizontal="centerContinuous"/>
    </xf>
    <xf numFmtId="37" fontId="7" fillId="0" borderId="6" xfId="5" applyNumberFormat="1" applyFont="1" applyBorder="1"/>
    <xf numFmtId="37" fontId="7" fillId="0" borderId="23" xfId="1" applyFont="1" applyBorder="1"/>
    <xf numFmtId="37" fontId="7" fillId="0" borderId="18" xfId="5" applyNumberFormat="1" applyFont="1" applyBorder="1"/>
    <xf numFmtId="37" fontId="2" fillId="0" borderId="0" xfId="1" applyFont="1" applyAlignment="1">
      <alignment horizontal="right"/>
    </xf>
    <xf numFmtId="0" fontId="2" fillId="0" borderId="0" xfId="1" applyNumberFormat="1" applyFont="1" applyAlignment="1">
      <alignment horizontal="centerContinuous"/>
    </xf>
    <xf numFmtId="164" fontId="7" fillId="0" borderId="19" xfId="1" applyNumberFormat="1" applyFont="1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37" fontId="7" fillId="0" borderId="6" xfId="5" applyNumberFormat="1" applyFont="1" applyBorder="1" applyAlignment="1">
      <alignment horizontal="center"/>
    </xf>
    <xf numFmtId="37" fontId="7" fillId="0" borderId="8" xfId="1" applyFont="1" applyBorder="1" applyAlignment="1">
      <alignment horizontal="center"/>
    </xf>
    <xf numFmtId="37" fontId="7" fillId="0" borderId="18" xfId="5" applyNumberFormat="1" applyFont="1" applyBorder="1" applyAlignment="1">
      <alignment horizontal="center"/>
    </xf>
    <xf numFmtId="37" fontId="7" fillId="0" borderId="19" xfId="1" applyFont="1" applyBorder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_INBENS" xfId="5" xr:uid="{00000000-0005-0000-0000-000002000000}"/>
    <cellStyle name="Normal_INPETROG" xfId="4" xr:uid="{00000000-0005-0000-0000-000003000000}"/>
    <cellStyle name="Normal_INSHELL" xfId="3" xr:uid="{00000000-0005-0000-0000-000004000000}"/>
    <cellStyle name="Normal_INTCONS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raa-my.sharepoint.com/personal/vn197305_azores_gov_pt/Documents/Documents/Excel/Introdu&#231;&#245;es%20no%20Consumo/Estat&#237;stica%20I.%20C.%20para%20fora/Intr.%20Cons.%202022.xls" TargetMode="External"/><Relationship Id="rId1" Type="http://schemas.openxmlformats.org/officeDocument/2006/relationships/externalLinkPath" Target="Intr.%20Cons.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D3" transitionEvaluation="1"/>
  <dimension ref="A1:O432"/>
  <sheetViews>
    <sheetView showGridLines="0" topLeftCell="D3" workbookViewId="0">
      <selection activeCell="H26" sqref="H26:N26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15.28515625" style="1" customWidth="1"/>
    <col min="11" max="11" width="14.5703125" style="1" customWidth="1"/>
    <col min="12" max="12" width="15" style="1" customWidth="1"/>
    <col min="13" max="13" width="14.5703125" style="1" customWidth="1"/>
    <col min="14" max="14" width="14.28515625" style="1" customWidth="1"/>
    <col min="15" max="15" width="12.85546875" style="1" customWidth="1"/>
    <col min="16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15.28515625" style="1" customWidth="1"/>
    <col min="267" max="267" width="14.5703125" style="1" customWidth="1"/>
    <col min="268" max="268" width="15" style="1" customWidth="1"/>
    <col min="269" max="269" width="14.5703125" style="1" customWidth="1"/>
    <col min="270" max="270" width="14.28515625" style="1" customWidth="1"/>
    <col min="271" max="271" width="12.85546875" style="1" customWidth="1"/>
    <col min="272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15.28515625" style="1" customWidth="1"/>
    <col min="523" max="523" width="14.5703125" style="1" customWidth="1"/>
    <col min="524" max="524" width="15" style="1" customWidth="1"/>
    <col min="525" max="525" width="14.5703125" style="1" customWidth="1"/>
    <col min="526" max="526" width="14.28515625" style="1" customWidth="1"/>
    <col min="527" max="527" width="12.85546875" style="1" customWidth="1"/>
    <col min="528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15.28515625" style="1" customWidth="1"/>
    <col min="779" max="779" width="14.5703125" style="1" customWidth="1"/>
    <col min="780" max="780" width="15" style="1" customWidth="1"/>
    <col min="781" max="781" width="14.5703125" style="1" customWidth="1"/>
    <col min="782" max="782" width="14.28515625" style="1" customWidth="1"/>
    <col min="783" max="783" width="12.85546875" style="1" customWidth="1"/>
    <col min="784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15.28515625" style="1" customWidth="1"/>
    <col min="1035" max="1035" width="14.5703125" style="1" customWidth="1"/>
    <col min="1036" max="1036" width="15" style="1" customWidth="1"/>
    <col min="1037" max="1037" width="14.5703125" style="1" customWidth="1"/>
    <col min="1038" max="1038" width="14.28515625" style="1" customWidth="1"/>
    <col min="1039" max="1039" width="12.85546875" style="1" customWidth="1"/>
    <col min="1040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15.28515625" style="1" customWidth="1"/>
    <col min="1291" max="1291" width="14.5703125" style="1" customWidth="1"/>
    <col min="1292" max="1292" width="15" style="1" customWidth="1"/>
    <col min="1293" max="1293" width="14.5703125" style="1" customWidth="1"/>
    <col min="1294" max="1294" width="14.28515625" style="1" customWidth="1"/>
    <col min="1295" max="1295" width="12.85546875" style="1" customWidth="1"/>
    <col min="1296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15.28515625" style="1" customWidth="1"/>
    <col min="1547" max="1547" width="14.5703125" style="1" customWidth="1"/>
    <col min="1548" max="1548" width="15" style="1" customWidth="1"/>
    <col min="1549" max="1549" width="14.5703125" style="1" customWidth="1"/>
    <col min="1550" max="1550" width="14.28515625" style="1" customWidth="1"/>
    <col min="1551" max="1551" width="12.85546875" style="1" customWidth="1"/>
    <col min="1552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15.28515625" style="1" customWidth="1"/>
    <col min="1803" max="1803" width="14.5703125" style="1" customWidth="1"/>
    <col min="1804" max="1804" width="15" style="1" customWidth="1"/>
    <col min="1805" max="1805" width="14.5703125" style="1" customWidth="1"/>
    <col min="1806" max="1806" width="14.28515625" style="1" customWidth="1"/>
    <col min="1807" max="1807" width="12.85546875" style="1" customWidth="1"/>
    <col min="1808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15.28515625" style="1" customWidth="1"/>
    <col min="2059" max="2059" width="14.5703125" style="1" customWidth="1"/>
    <col min="2060" max="2060" width="15" style="1" customWidth="1"/>
    <col min="2061" max="2061" width="14.5703125" style="1" customWidth="1"/>
    <col min="2062" max="2062" width="14.28515625" style="1" customWidth="1"/>
    <col min="2063" max="2063" width="12.85546875" style="1" customWidth="1"/>
    <col min="2064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15.28515625" style="1" customWidth="1"/>
    <col min="2315" max="2315" width="14.5703125" style="1" customWidth="1"/>
    <col min="2316" max="2316" width="15" style="1" customWidth="1"/>
    <col min="2317" max="2317" width="14.5703125" style="1" customWidth="1"/>
    <col min="2318" max="2318" width="14.28515625" style="1" customWidth="1"/>
    <col min="2319" max="2319" width="12.85546875" style="1" customWidth="1"/>
    <col min="2320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15.28515625" style="1" customWidth="1"/>
    <col min="2571" max="2571" width="14.5703125" style="1" customWidth="1"/>
    <col min="2572" max="2572" width="15" style="1" customWidth="1"/>
    <col min="2573" max="2573" width="14.5703125" style="1" customWidth="1"/>
    <col min="2574" max="2574" width="14.28515625" style="1" customWidth="1"/>
    <col min="2575" max="2575" width="12.85546875" style="1" customWidth="1"/>
    <col min="2576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15.28515625" style="1" customWidth="1"/>
    <col min="2827" max="2827" width="14.5703125" style="1" customWidth="1"/>
    <col min="2828" max="2828" width="15" style="1" customWidth="1"/>
    <col min="2829" max="2829" width="14.5703125" style="1" customWidth="1"/>
    <col min="2830" max="2830" width="14.28515625" style="1" customWidth="1"/>
    <col min="2831" max="2831" width="12.85546875" style="1" customWidth="1"/>
    <col min="2832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15.28515625" style="1" customWidth="1"/>
    <col min="3083" max="3083" width="14.5703125" style="1" customWidth="1"/>
    <col min="3084" max="3084" width="15" style="1" customWidth="1"/>
    <col min="3085" max="3085" width="14.5703125" style="1" customWidth="1"/>
    <col min="3086" max="3086" width="14.28515625" style="1" customWidth="1"/>
    <col min="3087" max="3087" width="12.85546875" style="1" customWidth="1"/>
    <col min="3088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15.28515625" style="1" customWidth="1"/>
    <col min="3339" max="3339" width="14.5703125" style="1" customWidth="1"/>
    <col min="3340" max="3340" width="15" style="1" customWidth="1"/>
    <col min="3341" max="3341" width="14.5703125" style="1" customWidth="1"/>
    <col min="3342" max="3342" width="14.28515625" style="1" customWidth="1"/>
    <col min="3343" max="3343" width="12.85546875" style="1" customWidth="1"/>
    <col min="3344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15.28515625" style="1" customWidth="1"/>
    <col min="3595" max="3595" width="14.5703125" style="1" customWidth="1"/>
    <col min="3596" max="3596" width="15" style="1" customWidth="1"/>
    <col min="3597" max="3597" width="14.5703125" style="1" customWidth="1"/>
    <col min="3598" max="3598" width="14.28515625" style="1" customWidth="1"/>
    <col min="3599" max="3599" width="12.85546875" style="1" customWidth="1"/>
    <col min="3600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15.28515625" style="1" customWidth="1"/>
    <col min="3851" max="3851" width="14.5703125" style="1" customWidth="1"/>
    <col min="3852" max="3852" width="15" style="1" customWidth="1"/>
    <col min="3853" max="3853" width="14.5703125" style="1" customWidth="1"/>
    <col min="3854" max="3854" width="14.28515625" style="1" customWidth="1"/>
    <col min="3855" max="3855" width="12.85546875" style="1" customWidth="1"/>
    <col min="3856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15.28515625" style="1" customWidth="1"/>
    <col min="4107" max="4107" width="14.5703125" style="1" customWidth="1"/>
    <col min="4108" max="4108" width="15" style="1" customWidth="1"/>
    <col min="4109" max="4109" width="14.5703125" style="1" customWidth="1"/>
    <col min="4110" max="4110" width="14.28515625" style="1" customWidth="1"/>
    <col min="4111" max="4111" width="12.85546875" style="1" customWidth="1"/>
    <col min="4112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15.28515625" style="1" customWidth="1"/>
    <col min="4363" max="4363" width="14.5703125" style="1" customWidth="1"/>
    <col min="4364" max="4364" width="15" style="1" customWidth="1"/>
    <col min="4365" max="4365" width="14.5703125" style="1" customWidth="1"/>
    <col min="4366" max="4366" width="14.28515625" style="1" customWidth="1"/>
    <col min="4367" max="4367" width="12.85546875" style="1" customWidth="1"/>
    <col min="4368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15.28515625" style="1" customWidth="1"/>
    <col min="4619" max="4619" width="14.5703125" style="1" customWidth="1"/>
    <col min="4620" max="4620" width="15" style="1" customWidth="1"/>
    <col min="4621" max="4621" width="14.5703125" style="1" customWidth="1"/>
    <col min="4622" max="4622" width="14.28515625" style="1" customWidth="1"/>
    <col min="4623" max="4623" width="12.85546875" style="1" customWidth="1"/>
    <col min="4624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15.28515625" style="1" customWidth="1"/>
    <col min="4875" max="4875" width="14.5703125" style="1" customWidth="1"/>
    <col min="4876" max="4876" width="15" style="1" customWidth="1"/>
    <col min="4877" max="4877" width="14.5703125" style="1" customWidth="1"/>
    <col min="4878" max="4878" width="14.28515625" style="1" customWidth="1"/>
    <col min="4879" max="4879" width="12.85546875" style="1" customWidth="1"/>
    <col min="4880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15.28515625" style="1" customWidth="1"/>
    <col min="5131" max="5131" width="14.5703125" style="1" customWidth="1"/>
    <col min="5132" max="5132" width="15" style="1" customWidth="1"/>
    <col min="5133" max="5133" width="14.5703125" style="1" customWidth="1"/>
    <col min="5134" max="5134" width="14.28515625" style="1" customWidth="1"/>
    <col min="5135" max="5135" width="12.85546875" style="1" customWidth="1"/>
    <col min="5136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15.28515625" style="1" customWidth="1"/>
    <col min="5387" max="5387" width="14.5703125" style="1" customWidth="1"/>
    <col min="5388" max="5388" width="15" style="1" customWidth="1"/>
    <col min="5389" max="5389" width="14.5703125" style="1" customWidth="1"/>
    <col min="5390" max="5390" width="14.28515625" style="1" customWidth="1"/>
    <col min="5391" max="5391" width="12.85546875" style="1" customWidth="1"/>
    <col min="5392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15.28515625" style="1" customWidth="1"/>
    <col min="5643" max="5643" width="14.5703125" style="1" customWidth="1"/>
    <col min="5644" max="5644" width="15" style="1" customWidth="1"/>
    <col min="5645" max="5645" width="14.5703125" style="1" customWidth="1"/>
    <col min="5646" max="5646" width="14.28515625" style="1" customWidth="1"/>
    <col min="5647" max="5647" width="12.85546875" style="1" customWidth="1"/>
    <col min="5648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15.28515625" style="1" customWidth="1"/>
    <col min="5899" max="5899" width="14.5703125" style="1" customWidth="1"/>
    <col min="5900" max="5900" width="15" style="1" customWidth="1"/>
    <col min="5901" max="5901" width="14.5703125" style="1" customWidth="1"/>
    <col min="5902" max="5902" width="14.28515625" style="1" customWidth="1"/>
    <col min="5903" max="5903" width="12.85546875" style="1" customWidth="1"/>
    <col min="5904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15.28515625" style="1" customWidth="1"/>
    <col min="6155" max="6155" width="14.5703125" style="1" customWidth="1"/>
    <col min="6156" max="6156" width="15" style="1" customWidth="1"/>
    <col min="6157" max="6157" width="14.5703125" style="1" customWidth="1"/>
    <col min="6158" max="6158" width="14.28515625" style="1" customWidth="1"/>
    <col min="6159" max="6159" width="12.85546875" style="1" customWidth="1"/>
    <col min="6160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15.28515625" style="1" customWidth="1"/>
    <col min="6411" max="6411" width="14.5703125" style="1" customWidth="1"/>
    <col min="6412" max="6412" width="15" style="1" customWidth="1"/>
    <col min="6413" max="6413" width="14.5703125" style="1" customWidth="1"/>
    <col min="6414" max="6414" width="14.28515625" style="1" customWidth="1"/>
    <col min="6415" max="6415" width="12.85546875" style="1" customWidth="1"/>
    <col min="6416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15.28515625" style="1" customWidth="1"/>
    <col min="6667" max="6667" width="14.5703125" style="1" customWidth="1"/>
    <col min="6668" max="6668" width="15" style="1" customWidth="1"/>
    <col min="6669" max="6669" width="14.5703125" style="1" customWidth="1"/>
    <col min="6670" max="6670" width="14.28515625" style="1" customWidth="1"/>
    <col min="6671" max="6671" width="12.85546875" style="1" customWidth="1"/>
    <col min="6672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15.28515625" style="1" customWidth="1"/>
    <col min="6923" max="6923" width="14.5703125" style="1" customWidth="1"/>
    <col min="6924" max="6924" width="15" style="1" customWidth="1"/>
    <col min="6925" max="6925" width="14.5703125" style="1" customWidth="1"/>
    <col min="6926" max="6926" width="14.28515625" style="1" customWidth="1"/>
    <col min="6927" max="6927" width="12.85546875" style="1" customWidth="1"/>
    <col min="6928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15.28515625" style="1" customWidth="1"/>
    <col min="7179" max="7179" width="14.5703125" style="1" customWidth="1"/>
    <col min="7180" max="7180" width="15" style="1" customWidth="1"/>
    <col min="7181" max="7181" width="14.5703125" style="1" customWidth="1"/>
    <col min="7182" max="7182" width="14.28515625" style="1" customWidth="1"/>
    <col min="7183" max="7183" width="12.85546875" style="1" customWidth="1"/>
    <col min="7184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15.28515625" style="1" customWidth="1"/>
    <col min="7435" max="7435" width="14.5703125" style="1" customWidth="1"/>
    <col min="7436" max="7436" width="15" style="1" customWidth="1"/>
    <col min="7437" max="7437" width="14.5703125" style="1" customWidth="1"/>
    <col min="7438" max="7438" width="14.28515625" style="1" customWidth="1"/>
    <col min="7439" max="7439" width="12.85546875" style="1" customWidth="1"/>
    <col min="7440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15.28515625" style="1" customWidth="1"/>
    <col min="7691" max="7691" width="14.5703125" style="1" customWidth="1"/>
    <col min="7692" max="7692" width="15" style="1" customWidth="1"/>
    <col min="7693" max="7693" width="14.5703125" style="1" customWidth="1"/>
    <col min="7694" max="7694" width="14.28515625" style="1" customWidth="1"/>
    <col min="7695" max="7695" width="12.85546875" style="1" customWidth="1"/>
    <col min="7696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15.28515625" style="1" customWidth="1"/>
    <col min="7947" max="7947" width="14.5703125" style="1" customWidth="1"/>
    <col min="7948" max="7948" width="15" style="1" customWidth="1"/>
    <col min="7949" max="7949" width="14.5703125" style="1" customWidth="1"/>
    <col min="7950" max="7950" width="14.28515625" style="1" customWidth="1"/>
    <col min="7951" max="7951" width="12.85546875" style="1" customWidth="1"/>
    <col min="7952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15.28515625" style="1" customWidth="1"/>
    <col min="8203" max="8203" width="14.5703125" style="1" customWidth="1"/>
    <col min="8204" max="8204" width="15" style="1" customWidth="1"/>
    <col min="8205" max="8205" width="14.5703125" style="1" customWidth="1"/>
    <col min="8206" max="8206" width="14.28515625" style="1" customWidth="1"/>
    <col min="8207" max="8207" width="12.85546875" style="1" customWidth="1"/>
    <col min="8208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15.28515625" style="1" customWidth="1"/>
    <col min="8459" max="8459" width="14.5703125" style="1" customWidth="1"/>
    <col min="8460" max="8460" width="15" style="1" customWidth="1"/>
    <col min="8461" max="8461" width="14.5703125" style="1" customWidth="1"/>
    <col min="8462" max="8462" width="14.28515625" style="1" customWidth="1"/>
    <col min="8463" max="8463" width="12.85546875" style="1" customWidth="1"/>
    <col min="8464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15.28515625" style="1" customWidth="1"/>
    <col min="8715" max="8715" width="14.5703125" style="1" customWidth="1"/>
    <col min="8716" max="8716" width="15" style="1" customWidth="1"/>
    <col min="8717" max="8717" width="14.5703125" style="1" customWidth="1"/>
    <col min="8718" max="8718" width="14.28515625" style="1" customWidth="1"/>
    <col min="8719" max="8719" width="12.85546875" style="1" customWidth="1"/>
    <col min="8720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15.28515625" style="1" customWidth="1"/>
    <col min="8971" max="8971" width="14.5703125" style="1" customWidth="1"/>
    <col min="8972" max="8972" width="15" style="1" customWidth="1"/>
    <col min="8973" max="8973" width="14.5703125" style="1" customWidth="1"/>
    <col min="8974" max="8974" width="14.28515625" style="1" customWidth="1"/>
    <col min="8975" max="8975" width="12.85546875" style="1" customWidth="1"/>
    <col min="8976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15.28515625" style="1" customWidth="1"/>
    <col min="9227" max="9227" width="14.5703125" style="1" customWidth="1"/>
    <col min="9228" max="9228" width="15" style="1" customWidth="1"/>
    <col min="9229" max="9229" width="14.5703125" style="1" customWidth="1"/>
    <col min="9230" max="9230" width="14.28515625" style="1" customWidth="1"/>
    <col min="9231" max="9231" width="12.85546875" style="1" customWidth="1"/>
    <col min="9232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15.28515625" style="1" customWidth="1"/>
    <col min="9483" max="9483" width="14.5703125" style="1" customWidth="1"/>
    <col min="9484" max="9484" width="15" style="1" customWidth="1"/>
    <col min="9485" max="9485" width="14.5703125" style="1" customWidth="1"/>
    <col min="9486" max="9486" width="14.28515625" style="1" customWidth="1"/>
    <col min="9487" max="9487" width="12.85546875" style="1" customWidth="1"/>
    <col min="9488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15.28515625" style="1" customWidth="1"/>
    <col min="9739" max="9739" width="14.5703125" style="1" customWidth="1"/>
    <col min="9740" max="9740" width="15" style="1" customWidth="1"/>
    <col min="9741" max="9741" width="14.5703125" style="1" customWidth="1"/>
    <col min="9742" max="9742" width="14.28515625" style="1" customWidth="1"/>
    <col min="9743" max="9743" width="12.85546875" style="1" customWidth="1"/>
    <col min="9744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15.28515625" style="1" customWidth="1"/>
    <col min="9995" max="9995" width="14.5703125" style="1" customWidth="1"/>
    <col min="9996" max="9996" width="15" style="1" customWidth="1"/>
    <col min="9997" max="9997" width="14.5703125" style="1" customWidth="1"/>
    <col min="9998" max="9998" width="14.28515625" style="1" customWidth="1"/>
    <col min="9999" max="9999" width="12.85546875" style="1" customWidth="1"/>
    <col min="10000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15.28515625" style="1" customWidth="1"/>
    <col min="10251" max="10251" width="14.5703125" style="1" customWidth="1"/>
    <col min="10252" max="10252" width="15" style="1" customWidth="1"/>
    <col min="10253" max="10253" width="14.5703125" style="1" customWidth="1"/>
    <col min="10254" max="10254" width="14.28515625" style="1" customWidth="1"/>
    <col min="10255" max="10255" width="12.85546875" style="1" customWidth="1"/>
    <col min="10256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15.28515625" style="1" customWidth="1"/>
    <col min="10507" max="10507" width="14.5703125" style="1" customWidth="1"/>
    <col min="10508" max="10508" width="15" style="1" customWidth="1"/>
    <col min="10509" max="10509" width="14.5703125" style="1" customWidth="1"/>
    <col min="10510" max="10510" width="14.28515625" style="1" customWidth="1"/>
    <col min="10511" max="10511" width="12.85546875" style="1" customWidth="1"/>
    <col min="10512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15.28515625" style="1" customWidth="1"/>
    <col min="10763" max="10763" width="14.5703125" style="1" customWidth="1"/>
    <col min="10764" max="10764" width="15" style="1" customWidth="1"/>
    <col min="10765" max="10765" width="14.5703125" style="1" customWidth="1"/>
    <col min="10766" max="10766" width="14.28515625" style="1" customWidth="1"/>
    <col min="10767" max="10767" width="12.85546875" style="1" customWidth="1"/>
    <col min="10768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15.28515625" style="1" customWidth="1"/>
    <col min="11019" max="11019" width="14.5703125" style="1" customWidth="1"/>
    <col min="11020" max="11020" width="15" style="1" customWidth="1"/>
    <col min="11021" max="11021" width="14.5703125" style="1" customWidth="1"/>
    <col min="11022" max="11022" width="14.28515625" style="1" customWidth="1"/>
    <col min="11023" max="11023" width="12.85546875" style="1" customWidth="1"/>
    <col min="11024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15.28515625" style="1" customWidth="1"/>
    <col min="11275" max="11275" width="14.5703125" style="1" customWidth="1"/>
    <col min="11276" max="11276" width="15" style="1" customWidth="1"/>
    <col min="11277" max="11277" width="14.5703125" style="1" customWidth="1"/>
    <col min="11278" max="11278" width="14.28515625" style="1" customWidth="1"/>
    <col min="11279" max="11279" width="12.85546875" style="1" customWidth="1"/>
    <col min="11280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15.28515625" style="1" customWidth="1"/>
    <col min="11531" max="11531" width="14.5703125" style="1" customWidth="1"/>
    <col min="11532" max="11532" width="15" style="1" customWidth="1"/>
    <col min="11533" max="11533" width="14.5703125" style="1" customWidth="1"/>
    <col min="11534" max="11534" width="14.28515625" style="1" customWidth="1"/>
    <col min="11535" max="11535" width="12.85546875" style="1" customWidth="1"/>
    <col min="11536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15.28515625" style="1" customWidth="1"/>
    <col min="11787" max="11787" width="14.5703125" style="1" customWidth="1"/>
    <col min="11788" max="11788" width="15" style="1" customWidth="1"/>
    <col min="11789" max="11789" width="14.5703125" style="1" customWidth="1"/>
    <col min="11790" max="11790" width="14.28515625" style="1" customWidth="1"/>
    <col min="11791" max="11791" width="12.85546875" style="1" customWidth="1"/>
    <col min="11792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15.28515625" style="1" customWidth="1"/>
    <col min="12043" max="12043" width="14.5703125" style="1" customWidth="1"/>
    <col min="12044" max="12044" width="15" style="1" customWidth="1"/>
    <col min="12045" max="12045" width="14.5703125" style="1" customWidth="1"/>
    <col min="12046" max="12046" width="14.28515625" style="1" customWidth="1"/>
    <col min="12047" max="12047" width="12.85546875" style="1" customWidth="1"/>
    <col min="12048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15.28515625" style="1" customWidth="1"/>
    <col min="12299" max="12299" width="14.5703125" style="1" customWidth="1"/>
    <col min="12300" max="12300" width="15" style="1" customWidth="1"/>
    <col min="12301" max="12301" width="14.5703125" style="1" customWidth="1"/>
    <col min="12302" max="12302" width="14.28515625" style="1" customWidth="1"/>
    <col min="12303" max="12303" width="12.85546875" style="1" customWidth="1"/>
    <col min="12304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15.28515625" style="1" customWidth="1"/>
    <col min="12555" max="12555" width="14.5703125" style="1" customWidth="1"/>
    <col min="12556" max="12556" width="15" style="1" customWidth="1"/>
    <col min="12557" max="12557" width="14.5703125" style="1" customWidth="1"/>
    <col min="12558" max="12558" width="14.28515625" style="1" customWidth="1"/>
    <col min="12559" max="12559" width="12.85546875" style="1" customWidth="1"/>
    <col min="12560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15.28515625" style="1" customWidth="1"/>
    <col min="12811" max="12811" width="14.5703125" style="1" customWidth="1"/>
    <col min="12812" max="12812" width="15" style="1" customWidth="1"/>
    <col min="12813" max="12813" width="14.5703125" style="1" customWidth="1"/>
    <col min="12814" max="12814" width="14.28515625" style="1" customWidth="1"/>
    <col min="12815" max="12815" width="12.85546875" style="1" customWidth="1"/>
    <col min="12816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15.28515625" style="1" customWidth="1"/>
    <col min="13067" max="13067" width="14.5703125" style="1" customWidth="1"/>
    <col min="13068" max="13068" width="15" style="1" customWidth="1"/>
    <col min="13069" max="13069" width="14.5703125" style="1" customWidth="1"/>
    <col min="13070" max="13070" width="14.28515625" style="1" customWidth="1"/>
    <col min="13071" max="13071" width="12.85546875" style="1" customWidth="1"/>
    <col min="13072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15.28515625" style="1" customWidth="1"/>
    <col min="13323" max="13323" width="14.5703125" style="1" customWidth="1"/>
    <col min="13324" max="13324" width="15" style="1" customWidth="1"/>
    <col min="13325" max="13325" width="14.5703125" style="1" customWidth="1"/>
    <col min="13326" max="13326" width="14.28515625" style="1" customWidth="1"/>
    <col min="13327" max="13327" width="12.85546875" style="1" customWidth="1"/>
    <col min="13328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15.28515625" style="1" customWidth="1"/>
    <col min="13579" max="13579" width="14.5703125" style="1" customWidth="1"/>
    <col min="13580" max="13580" width="15" style="1" customWidth="1"/>
    <col min="13581" max="13581" width="14.5703125" style="1" customWidth="1"/>
    <col min="13582" max="13582" width="14.28515625" style="1" customWidth="1"/>
    <col min="13583" max="13583" width="12.85546875" style="1" customWidth="1"/>
    <col min="13584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15.28515625" style="1" customWidth="1"/>
    <col min="13835" max="13835" width="14.5703125" style="1" customWidth="1"/>
    <col min="13836" max="13836" width="15" style="1" customWidth="1"/>
    <col min="13837" max="13837" width="14.5703125" style="1" customWidth="1"/>
    <col min="13838" max="13838" width="14.28515625" style="1" customWidth="1"/>
    <col min="13839" max="13839" width="12.85546875" style="1" customWidth="1"/>
    <col min="13840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15.28515625" style="1" customWidth="1"/>
    <col min="14091" max="14091" width="14.5703125" style="1" customWidth="1"/>
    <col min="14092" max="14092" width="15" style="1" customWidth="1"/>
    <col min="14093" max="14093" width="14.5703125" style="1" customWidth="1"/>
    <col min="14094" max="14094" width="14.28515625" style="1" customWidth="1"/>
    <col min="14095" max="14095" width="12.85546875" style="1" customWidth="1"/>
    <col min="14096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15.28515625" style="1" customWidth="1"/>
    <col min="14347" max="14347" width="14.5703125" style="1" customWidth="1"/>
    <col min="14348" max="14348" width="15" style="1" customWidth="1"/>
    <col min="14349" max="14349" width="14.5703125" style="1" customWidth="1"/>
    <col min="14350" max="14350" width="14.28515625" style="1" customWidth="1"/>
    <col min="14351" max="14351" width="12.85546875" style="1" customWidth="1"/>
    <col min="14352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15.28515625" style="1" customWidth="1"/>
    <col min="14603" max="14603" width="14.5703125" style="1" customWidth="1"/>
    <col min="14604" max="14604" width="15" style="1" customWidth="1"/>
    <col min="14605" max="14605" width="14.5703125" style="1" customWidth="1"/>
    <col min="14606" max="14606" width="14.28515625" style="1" customWidth="1"/>
    <col min="14607" max="14607" width="12.85546875" style="1" customWidth="1"/>
    <col min="14608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15.28515625" style="1" customWidth="1"/>
    <col min="14859" max="14859" width="14.5703125" style="1" customWidth="1"/>
    <col min="14860" max="14860" width="15" style="1" customWidth="1"/>
    <col min="14861" max="14861" width="14.5703125" style="1" customWidth="1"/>
    <col min="14862" max="14862" width="14.28515625" style="1" customWidth="1"/>
    <col min="14863" max="14863" width="12.85546875" style="1" customWidth="1"/>
    <col min="14864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15.28515625" style="1" customWidth="1"/>
    <col min="15115" max="15115" width="14.5703125" style="1" customWidth="1"/>
    <col min="15116" max="15116" width="15" style="1" customWidth="1"/>
    <col min="15117" max="15117" width="14.5703125" style="1" customWidth="1"/>
    <col min="15118" max="15118" width="14.28515625" style="1" customWidth="1"/>
    <col min="15119" max="15119" width="12.85546875" style="1" customWidth="1"/>
    <col min="15120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15.28515625" style="1" customWidth="1"/>
    <col min="15371" max="15371" width="14.5703125" style="1" customWidth="1"/>
    <col min="15372" max="15372" width="15" style="1" customWidth="1"/>
    <col min="15373" max="15373" width="14.5703125" style="1" customWidth="1"/>
    <col min="15374" max="15374" width="14.28515625" style="1" customWidth="1"/>
    <col min="15375" max="15375" width="12.85546875" style="1" customWidth="1"/>
    <col min="15376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15.28515625" style="1" customWidth="1"/>
    <col min="15627" max="15627" width="14.5703125" style="1" customWidth="1"/>
    <col min="15628" max="15628" width="15" style="1" customWidth="1"/>
    <col min="15629" max="15629" width="14.5703125" style="1" customWidth="1"/>
    <col min="15630" max="15630" width="14.28515625" style="1" customWidth="1"/>
    <col min="15631" max="15631" width="12.85546875" style="1" customWidth="1"/>
    <col min="15632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15.28515625" style="1" customWidth="1"/>
    <col min="15883" max="15883" width="14.5703125" style="1" customWidth="1"/>
    <col min="15884" max="15884" width="15" style="1" customWidth="1"/>
    <col min="15885" max="15885" width="14.5703125" style="1" customWidth="1"/>
    <col min="15886" max="15886" width="14.28515625" style="1" customWidth="1"/>
    <col min="15887" max="15887" width="12.85546875" style="1" customWidth="1"/>
    <col min="15888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15.28515625" style="1" customWidth="1"/>
    <col min="16139" max="16139" width="14.5703125" style="1" customWidth="1"/>
    <col min="16140" max="16140" width="15" style="1" customWidth="1"/>
    <col min="16141" max="16141" width="14.5703125" style="1" customWidth="1"/>
    <col min="16142" max="16142" width="14.28515625" style="1" customWidth="1"/>
    <col min="16143" max="16143" width="12.85546875" style="1" customWidth="1"/>
    <col min="16144" max="16384" width="21.5703125" style="1"/>
  </cols>
  <sheetData>
    <row r="1" spans="2:15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4"/>
    </row>
    <row r="2" spans="2:15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4"/>
    </row>
    <row r="3" spans="2:15" ht="15.75" x14ac:dyDescent="0.25">
      <c r="E3" s="6">
        <v>1997</v>
      </c>
      <c r="F3" s="3"/>
      <c r="G3" s="3"/>
      <c r="H3" s="7"/>
      <c r="I3" s="3"/>
      <c r="J3" s="7"/>
      <c r="K3" s="7"/>
      <c r="L3" s="7"/>
      <c r="M3" s="7"/>
      <c r="N3" s="7"/>
      <c r="O3" s="8"/>
    </row>
    <row r="4" spans="2:15" ht="16.5" thickBot="1" x14ac:dyDescent="0.3">
      <c r="F4" s="5"/>
      <c r="G4" s="9"/>
      <c r="H4" s="9"/>
      <c r="I4" s="9"/>
      <c r="J4" s="9"/>
      <c r="K4" s="9"/>
      <c r="L4" s="9"/>
      <c r="M4" s="9"/>
      <c r="N4" s="9"/>
      <c r="O4" s="10"/>
    </row>
    <row r="5" spans="2:15" ht="16.5" thickTop="1" x14ac:dyDescent="0.25">
      <c r="E5" s="11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  <c r="L5" s="12" t="s">
        <v>9</v>
      </c>
      <c r="M5" s="12" t="s">
        <v>10</v>
      </c>
      <c r="N5" s="13" t="s">
        <v>11</v>
      </c>
      <c r="O5" s="14" t="s">
        <v>12</v>
      </c>
    </row>
    <row r="6" spans="2:15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8"/>
      <c r="O6" s="19"/>
    </row>
    <row r="7" spans="2:15" ht="15.75" x14ac:dyDescent="0.25">
      <c r="E7" s="20" t="s">
        <v>13</v>
      </c>
      <c r="F7" s="16">
        <f>G7+H7+I7+J7+K7+L7+M7+N7</f>
        <v>116253371</v>
      </c>
      <c r="G7" s="17">
        <f>916266+783564+876813+926022+936182+952514+1079356+969625+925117+890295+806137+904821</f>
        <v>10966712</v>
      </c>
      <c r="H7" s="17">
        <f>563139+476506+561541+567030+607547+628347+754843+728946+656420+638557+570899+649435</f>
        <v>7403210</v>
      </c>
      <c r="I7" s="17">
        <f>4704+6859+3497+10283+2793+2988+4273+6847+3177+2581+6792+1199</f>
        <v>55993</v>
      </c>
      <c r="J7" s="17">
        <f>2979074+2740603+2840634+3203662+3349678+3242701+3578148+3115774+3319047+3487165+2957313+3135039</f>
        <v>37948838</v>
      </c>
      <c r="K7" s="17">
        <f>79632+83913+34441+83952+53995+34548+85644+78819+98472+147705+98881+99009</f>
        <v>979011</v>
      </c>
      <c r="L7" s="16">
        <f>741201+901430+942445+933822+781986+1069897+823602+1602868+1090701+809967+1510353+654455</f>
        <v>11862727</v>
      </c>
      <c r="M7" s="17">
        <f>3077360+3038768+2242434+3267720+1810357+2432863+3483885+2687747+3294774+3360882+2990853+3274130</f>
        <v>34961773</v>
      </c>
      <c r="N7" s="18">
        <f>1216145+941080+1209653+974998+1648586+282289+1731993+1015617+498038+535409+929166+1092133</f>
        <v>12075107</v>
      </c>
      <c r="O7" s="19"/>
    </row>
    <row r="8" spans="2:15" ht="15.75" x14ac:dyDescent="0.25">
      <c r="E8" s="20"/>
      <c r="F8" s="16"/>
      <c r="G8" s="17"/>
      <c r="H8" s="17"/>
      <c r="I8" s="17"/>
      <c r="J8" s="17"/>
      <c r="K8" s="17"/>
      <c r="L8" s="17"/>
      <c r="M8" s="17"/>
      <c r="N8" s="18"/>
      <c r="O8" s="19"/>
    </row>
    <row r="9" spans="2:15" ht="15.75" x14ac:dyDescent="0.25">
      <c r="E9" s="20" t="s">
        <v>14</v>
      </c>
      <c r="F9" s="16">
        <f>G9+H9+I9+J9+K9+L9+M9+O9</f>
        <v>5810847</v>
      </c>
      <c r="G9" s="17">
        <f>79299+192648+52038+89184+82982+84888+146525+97472+74990</f>
        <v>900026</v>
      </c>
      <c r="H9" s="17">
        <f>25864+20228+27972+28498+19555+38575+23328+34887+39486+21814+19961</f>
        <v>300168</v>
      </c>
      <c r="I9" s="17">
        <f>996+1390+596</f>
        <v>2982</v>
      </c>
      <c r="J9" s="17">
        <f>88842+78939+111323+75549+105743+112647+141708+130864+136139+168698+160404+150464</f>
        <v>1461320</v>
      </c>
      <c r="K9" s="17">
        <f>251971+229240+252140+229240+240693+251973+274656+286084+285895+297210+258540+286309</f>
        <v>3143951</v>
      </c>
      <c r="L9" s="17"/>
      <c r="M9" s="17"/>
      <c r="N9" s="18"/>
      <c r="O9" s="19">
        <f>400+400+1000+200+200+200</f>
        <v>2400</v>
      </c>
    </row>
    <row r="10" spans="2:15" ht="15.75" x14ac:dyDescent="0.25">
      <c r="E10" s="20"/>
      <c r="F10" s="16"/>
      <c r="G10" s="17"/>
      <c r="H10" s="17"/>
      <c r="I10" s="17"/>
      <c r="J10" s="17"/>
      <c r="K10" s="17"/>
      <c r="L10" s="17"/>
      <c r="M10" s="17"/>
      <c r="N10" s="18"/>
      <c r="O10" s="19"/>
    </row>
    <row r="11" spans="2:15" ht="15.75" x14ac:dyDescent="0.25">
      <c r="B11" s="21"/>
      <c r="C11" s="21"/>
      <c r="D11" s="21"/>
      <c r="E11" s="20" t="s">
        <v>15</v>
      </c>
      <c r="F11" s="16">
        <f>G11+H11+I11+J11+K11+L11+M11+N11</f>
        <v>49985466</v>
      </c>
      <c r="G11" s="17">
        <f>483341+494542+455847+516582+580097+463865+561583+587319+442701+562739+411353+522809</f>
        <v>6082778</v>
      </c>
      <c r="H11" s="17">
        <f>287001+249817+210871+326814+315727+281175+353812+309411+331623+302665+273532+219987</f>
        <v>3462435</v>
      </c>
      <c r="I11" s="17"/>
      <c r="J11" s="17">
        <f>919623+828623+1080962+1321136+1488727+795230+1347536+959864+615128+1314433+776273+170300</f>
        <v>11617835</v>
      </c>
      <c r="K11" s="17">
        <f>62446</f>
        <v>62446</v>
      </c>
      <c r="L11" s="17">
        <f>-41097+691328+225914+940351+360517+538571+205484+19734+188760-109635+567055+84523</f>
        <v>3671505</v>
      </c>
      <c r="M11" s="17">
        <f>1858759+1479484+1630802+1729379+1553852+1166318+1938173+1943140+1724599+1923286+1450639+1371659</f>
        <v>19770090</v>
      </c>
      <c r="N11" s="18">
        <f>354086+631804+374024+624742+262877+498422+491996+236021+622749+294302+470052+457302</f>
        <v>5318377</v>
      </c>
      <c r="O11" s="19"/>
    </row>
    <row r="12" spans="2:15" ht="15.75" x14ac:dyDescent="0.25">
      <c r="E12" s="20" t="s">
        <v>16</v>
      </c>
      <c r="F12" s="16">
        <f>G12+H12+I12+J12+K12+L12+M12+N12</f>
        <v>9700332</v>
      </c>
      <c r="G12" s="17"/>
      <c r="H12" s="17"/>
      <c r="I12" s="17">
        <f>4000+4000+2000+2000+2000+2000+4000</f>
        <v>20000</v>
      </c>
      <c r="J12" s="17">
        <f>446373+611497+587642+169893+396344+635625+490469+611246+668252+788368+600857+1098955</f>
        <v>7105521</v>
      </c>
      <c r="K12" s="17">
        <f>300822+172614+102390+62814+104043+213832+163412+251404+216209+180059+138285+668927</f>
        <v>2574811</v>
      </c>
      <c r="L12" s="17"/>
      <c r="M12" s="17"/>
      <c r="N12" s="18"/>
      <c r="O12" s="19"/>
    </row>
    <row r="13" spans="2:15" ht="15.75" x14ac:dyDescent="0.25">
      <c r="E13" s="20"/>
      <c r="F13" s="16"/>
      <c r="G13" s="17"/>
      <c r="H13" s="17"/>
      <c r="I13" s="17"/>
      <c r="J13" s="17"/>
      <c r="K13" s="17"/>
      <c r="L13" s="17"/>
      <c r="M13" s="17"/>
      <c r="N13" s="18"/>
      <c r="O13" s="19"/>
    </row>
    <row r="14" spans="2:15" ht="15.75" x14ac:dyDescent="0.25">
      <c r="E14" s="20" t="s">
        <v>17</v>
      </c>
      <c r="F14" s="16">
        <f>G14+H14+I14+J14+K14+L14+M14+N14</f>
        <v>3180295</v>
      </c>
      <c r="G14" s="17">
        <f>33627+38997+19190+38195+21773+32293+102014+24936+46321+18131+38587</f>
        <v>414064</v>
      </c>
      <c r="H14" s="17">
        <f>17127+12800+9112+13073+18705+23126+79302+18384+51241+16413</f>
        <v>259283</v>
      </c>
      <c r="I14" s="17"/>
      <c r="J14" s="17">
        <f>51544+81864+1528+155734-13678+70138+163301-30539+98935+48420+179861-40639</f>
        <v>766469</v>
      </c>
      <c r="K14" s="17">
        <f>129160+115987+124870+141967+113903+116779+188933+160927+147218+180115+139754+180866</f>
        <v>1740479</v>
      </c>
      <c r="L14" s="17"/>
      <c r="M14" s="17"/>
      <c r="N14" s="18"/>
      <c r="O14" s="19"/>
    </row>
    <row r="15" spans="2:15" ht="15.75" x14ac:dyDescent="0.25">
      <c r="E15" s="20"/>
      <c r="F15" s="16"/>
      <c r="G15" s="17"/>
      <c r="H15" s="17"/>
      <c r="I15" s="17"/>
      <c r="J15" s="17"/>
      <c r="K15" s="17"/>
      <c r="L15" s="17"/>
      <c r="M15" s="17"/>
      <c r="N15" s="18"/>
      <c r="O15" s="19"/>
    </row>
    <row r="16" spans="2:15" ht="15.75" x14ac:dyDescent="0.25">
      <c r="E16" s="20" t="s">
        <v>18</v>
      </c>
      <c r="F16" s="16">
        <f>G16+H16+I16+J16+K16+L16+M16+N16</f>
        <v>8321210</v>
      </c>
      <c r="G16" s="17">
        <f>60785+72711+53543+63912+77028+62702+121915+77074+62105+91645+65103+31718</f>
        <v>840241</v>
      </c>
      <c r="H16" s="17">
        <f>56056+29686+15919+35120+23007+27435+37187+18779+34635+40797+19563+6729</f>
        <v>344913</v>
      </c>
      <c r="I16" s="17"/>
      <c r="J16" s="17">
        <f>219847+263181+225227+343314+387918+233409+425477+227117+176572+346318+305651+247635</f>
        <v>3401666</v>
      </c>
      <c r="K16" s="17">
        <f>281654+249926+279590+268702+259343+308113+349902+363483+357040+344513+301348+370776</f>
        <v>3734390</v>
      </c>
      <c r="L16" s="17"/>
      <c r="M16" s="17"/>
      <c r="N16" s="18"/>
      <c r="O16" s="19"/>
    </row>
    <row r="17" spans="5:15" ht="15.75" x14ac:dyDescent="0.25">
      <c r="E17" s="20"/>
      <c r="F17" s="16"/>
      <c r="G17" s="17"/>
      <c r="H17" s="17"/>
      <c r="I17" s="17"/>
      <c r="J17" s="17"/>
      <c r="K17" s="17"/>
      <c r="L17" s="17"/>
      <c r="M17" s="17"/>
      <c r="N17" s="18"/>
      <c r="O17" s="19"/>
    </row>
    <row r="18" spans="5:15" ht="15.75" x14ac:dyDescent="0.25">
      <c r="E18" s="20" t="s">
        <v>19</v>
      </c>
      <c r="F18" s="16">
        <f>G18+H18+I18+J18+K18+L18+M18+N18</f>
        <v>20171925</v>
      </c>
      <c r="G18" s="17">
        <f>146157+148324+142690+153902+157509+158002+178702+172888+149299+162692+128257+144465</f>
        <v>1842887</v>
      </c>
      <c r="H18" s="17">
        <f>74570+69520+73093+81424+84122+86093+100447+104705+90554+98091+72128+97831</f>
        <v>1032578</v>
      </c>
      <c r="I18" s="17">
        <f>18000+10237+2583</f>
        <v>30820</v>
      </c>
      <c r="J18" s="17">
        <f>434271+423641+421436+551851+747503+716131+1019422+771806+680230+517342+424125+333926</f>
        <v>7041684</v>
      </c>
      <c r="K18" s="17">
        <f>162054+143971+125982+179892+143741+107727+125262+71529+107398+179058+143557+161841</f>
        <v>1652012</v>
      </c>
      <c r="L18" s="17">
        <f>299440+43159-46697+417394+30982-15705-132126+175089-204116+193556+106275+7025</f>
        <v>874276</v>
      </c>
      <c r="M18" s="17">
        <f>235273+433046+322536+491414+393240+601457+451930+586725+486268+471466+479003</f>
        <v>4952358</v>
      </c>
      <c r="N18" s="18">
        <f>103987+324914+189676+244027+386872+475305+161537+152532+445484+260976</f>
        <v>2745310</v>
      </c>
      <c r="O18" s="19"/>
    </row>
    <row r="19" spans="5:15" ht="15.75" x14ac:dyDescent="0.25">
      <c r="E19" s="20"/>
      <c r="F19" s="16"/>
      <c r="G19" s="17"/>
      <c r="H19" s="17"/>
      <c r="I19" s="17"/>
      <c r="J19" s="17"/>
      <c r="K19" s="17"/>
      <c r="L19" s="17"/>
      <c r="M19" s="17"/>
      <c r="N19" s="18"/>
      <c r="O19" s="19"/>
    </row>
    <row r="20" spans="5:15" ht="15.75" x14ac:dyDescent="0.25">
      <c r="E20" s="20" t="s">
        <v>20</v>
      </c>
      <c r="F20" s="16">
        <f>G20+H20+I20+J20+K20+L20+M20+N20</f>
        <v>14031923</v>
      </c>
      <c r="G20" s="17">
        <f>108681+126893+122934+131053+87277+129352+159695+51620+119460+87458+39290+71874</f>
        <v>1235587</v>
      </c>
      <c r="H20" s="17">
        <f>49483+31521+101641+57136+30687+76042+19041+125000+57592+34089+39500</f>
        <v>621732</v>
      </c>
      <c r="I20" s="17"/>
      <c r="J20" s="17">
        <f>413167+186766+847435+434911+996754+482130+1699642+279106+807964+230860+567628+185080</f>
        <v>7131443</v>
      </c>
      <c r="K20" s="17">
        <f>5004+5000+12463+19975+4964+14875+4967+4971+4983+9992</f>
        <v>87194</v>
      </c>
      <c r="L20" s="17">
        <f>-322491-55631+300406+10453+166386-223680+122923-164208-2008-132205+239318-62936</f>
        <v>-123673</v>
      </c>
      <c r="M20" s="17">
        <f>430732+450216+315904+432254+354614+413029+540073+392884+490942+513119+329054+416819</f>
        <v>5079640</v>
      </c>
      <c r="N20" s="18"/>
      <c r="O20" s="19"/>
    </row>
    <row r="21" spans="5:15" ht="15.75" x14ac:dyDescent="0.25">
      <c r="E21" s="20"/>
      <c r="F21" s="16"/>
      <c r="G21" s="17"/>
      <c r="H21" s="17"/>
      <c r="I21" s="17"/>
      <c r="J21" s="17"/>
      <c r="K21" s="17"/>
      <c r="L21" s="17"/>
      <c r="M21" s="17"/>
      <c r="N21" s="18"/>
      <c r="O21" s="19"/>
    </row>
    <row r="22" spans="5:15" ht="15.75" x14ac:dyDescent="0.25">
      <c r="E22" s="20" t="s">
        <v>21</v>
      </c>
      <c r="F22" s="16">
        <f>G22+H22+I22+J22+K22+L22+M22+N22</f>
        <v>2686945</v>
      </c>
      <c r="G22" s="17">
        <f>70647+19906+49860+19970+24212+69401+49561+39392+29443+29434+59976</f>
        <v>461802</v>
      </c>
      <c r="H22" s="17">
        <f>23088+25085+10744+15218+20332+9855+14904+19976</f>
        <v>139202</v>
      </c>
      <c r="I22" s="17"/>
      <c r="J22" s="17">
        <f>-28247+214759+136166+80266+108381+96384+226787+32709+257632+87122+102591+149802</f>
        <v>1464352</v>
      </c>
      <c r="K22" s="17">
        <f>28247+42960+25751+76668+36405+51515+93803+104350+78225+45220+38445</f>
        <v>621589</v>
      </c>
      <c r="L22" s="17"/>
      <c r="M22" s="17"/>
      <c r="N22" s="18"/>
      <c r="O22" s="19"/>
    </row>
    <row r="23" spans="5:15" ht="15.75" x14ac:dyDescent="0.25">
      <c r="E23" s="20"/>
      <c r="F23" s="16"/>
      <c r="G23" s="17"/>
      <c r="H23" s="17"/>
      <c r="I23" s="17"/>
      <c r="J23" s="17"/>
      <c r="K23" s="17"/>
      <c r="L23" s="17"/>
      <c r="M23" s="17"/>
      <c r="N23" s="18"/>
      <c r="O23" s="19"/>
    </row>
    <row r="24" spans="5:15" ht="15.75" x14ac:dyDescent="0.25">
      <c r="E24" s="20" t="s">
        <v>22</v>
      </c>
      <c r="F24" s="16">
        <f>G24+H24+I24+J24+K24+L24+M24+N24</f>
        <v>194331</v>
      </c>
      <c r="G24" s="17"/>
      <c r="H24" s="17"/>
      <c r="I24" s="17"/>
      <c r="J24" s="17"/>
      <c r="K24" s="17">
        <f>13990+11995+5995+21957+34830+5985+25876+21908+7966+25898+7966+9965</f>
        <v>194331</v>
      </c>
      <c r="L24" s="17"/>
      <c r="M24" s="17"/>
      <c r="N24" s="18"/>
      <c r="O24" s="19"/>
    </row>
    <row r="25" spans="5:15" ht="15.75" x14ac:dyDescent="0.25">
      <c r="E25" s="20"/>
      <c r="F25" s="16"/>
      <c r="G25" s="17"/>
      <c r="H25" s="17"/>
      <c r="I25" s="17"/>
      <c r="J25" s="17"/>
      <c r="K25" s="17"/>
      <c r="L25" s="17"/>
      <c r="M25" s="17"/>
      <c r="N25" s="18"/>
      <c r="O25" s="19"/>
    </row>
    <row r="26" spans="5:15" x14ac:dyDescent="0.2">
      <c r="E26" s="22" t="s">
        <v>3</v>
      </c>
      <c r="F26" s="23">
        <f>F7+F9+F11+F12+F14+F16+F18+F20+F22+F24</f>
        <v>230336645</v>
      </c>
      <c r="G26" s="23">
        <f t="shared" ref="G26:O26" si="0">G7+G9+G11+G12+G14+G16+G18+G20+G22+G24</f>
        <v>22744097</v>
      </c>
      <c r="H26" s="23">
        <f t="shared" si="0"/>
        <v>13563521</v>
      </c>
      <c r="I26" s="23">
        <f t="shared" si="0"/>
        <v>109795</v>
      </c>
      <c r="J26" s="23">
        <f t="shared" si="0"/>
        <v>77939128</v>
      </c>
      <c r="K26" s="23">
        <f t="shared" si="0"/>
        <v>14790214</v>
      </c>
      <c r="L26" s="23">
        <f t="shared" si="0"/>
        <v>16284835</v>
      </c>
      <c r="M26" s="23">
        <f t="shared" si="0"/>
        <v>64763861</v>
      </c>
      <c r="N26" s="23">
        <f t="shared" si="0"/>
        <v>20138794</v>
      </c>
      <c r="O26" s="24">
        <f t="shared" si="0"/>
        <v>2400</v>
      </c>
    </row>
    <row r="27" spans="5:15" ht="16.5" thickBot="1" x14ac:dyDescent="0.3">
      <c r="E27" s="25"/>
      <c r="F27" s="26"/>
      <c r="G27" s="27"/>
      <c r="H27" s="27"/>
      <c r="I27" s="27"/>
      <c r="J27" s="27"/>
      <c r="K27" s="27"/>
      <c r="L27" s="27"/>
      <c r="M27" s="27"/>
      <c r="N27" s="28"/>
      <c r="O27" s="29"/>
    </row>
    <row r="28" spans="5:15" ht="16.5" thickTop="1" x14ac:dyDescent="0.25">
      <c r="F28" s="30"/>
      <c r="G28" s="31"/>
      <c r="H28" s="31"/>
      <c r="I28" s="31"/>
      <c r="J28" s="31"/>
      <c r="K28" s="31"/>
      <c r="L28" s="31"/>
      <c r="M28" s="31"/>
      <c r="N28" s="31"/>
      <c r="O28" s="32"/>
    </row>
    <row r="29" spans="5:15" ht="15.75" x14ac:dyDescent="0.25">
      <c r="E29" s="33" t="s">
        <v>23</v>
      </c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5" ht="15.75" x14ac:dyDescent="0.25">
      <c r="F30" s="34"/>
      <c r="G30" s="35"/>
      <c r="H30" s="35"/>
      <c r="I30" s="35"/>
      <c r="J30" s="35"/>
      <c r="K30" s="35"/>
      <c r="L30" s="35"/>
      <c r="M30" s="35"/>
      <c r="N30" s="35"/>
    </row>
    <row r="31" spans="5:15" ht="15.75" x14ac:dyDescent="0.25">
      <c r="F31" s="34"/>
      <c r="G31" s="35"/>
      <c r="H31" s="35"/>
      <c r="I31" s="35"/>
      <c r="J31" s="35"/>
      <c r="K31" s="35"/>
      <c r="L31" s="35"/>
      <c r="M31" s="35"/>
      <c r="N31" s="35"/>
    </row>
    <row r="32" spans="5:15" ht="15.75" x14ac:dyDescent="0.25">
      <c r="E32" s="2" t="s">
        <v>0</v>
      </c>
      <c r="F32" s="3"/>
      <c r="G32" s="3"/>
      <c r="H32" s="7"/>
      <c r="I32" s="3"/>
      <c r="J32" s="7"/>
      <c r="K32" s="7"/>
      <c r="L32" s="7"/>
      <c r="M32" s="7"/>
      <c r="N32" s="7"/>
      <c r="O32" s="8"/>
    </row>
    <row r="33" spans="5:15" ht="15.75" x14ac:dyDescent="0.25">
      <c r="F33" s="36"/>
      <c r="G33" s="37"/>
      <c r="H33" s="38"/>
      <c r="I33" s="38"/>
      <c r="J33" s="39" t="s">
        <v>1</v>
      </c>
      <c r="K33" s="38"/>
      <c r="L33" s="38"/>
      <c r="M33" s="38"/>
      <c r="N33" s="38"/>
      <c r="O33" s="40"/>
    </row>
    <row r="34" spans="5:15" ht="15.75" x14ac:dyDescent="0.25">
      <c r="E34" s="6">
        <v>1997</v>
      </c>
      <c r="F34" s="3"/>
      <c r="G34" s="3"/>
      <c r="H34" s="7"/>
      <c r="I34" s="3"/>
      <c r="J34" s="7"/>
      <c r="K34" s="7"/>
      <c r="L34" s="7"/>
      <c r="M34" s="7"/>
      <c r="N34" s="7"/>
      <c r="O34" s="8"/>
    </row>
    <row r="35" spans="5:15" ht="16.5" thickBot="1" x14ac:dyDescent="0.3">
      <c r="F35" s="36"/>
      <c r="G35" s="38"/>
      <c r="H35" s="38"/>
      <c r="I35" s="38"/>
      <c r="J35" s="38"/>
      <c r="K35" s="38"/>
      <c r="L35" s="38"/>
      <c r="M35" s="38"/>
      <c r="N35" s="38"/>
      <c r="O35" s="40"/>
    </row>
    <row r="36" spans="5:15" ht="15.95" customHeight="1" thickTop="1" x14ac:dyDescent="0.25">
      <c r="E36" s="41" t="s">
        <v>24</v>
      </c>
      <c r="F36" s="42" t="s">
        <v>3</v>
      </c>
      <c r="G36" s="43" t="s">
        <v>4</v>
      </c>
      <c r="H36" s="43" t="s">
        <v>5</v>
      </c>
      <c r="I36" s="43" t="s">
        <v>6</v>
      </c>
      <c r="J36" s="43" t="s">
        <v>7</v>
      </c>
      <c r="K36" s="43" t="s">
        <v>8</v>
      </c>
      <c r="L36" s="43" t="s">
        <v>25</v>
      </c>
      <c r="M36" s="44" t="s">
        <v>10</v>
      </c>
      <c r="N36" s="13" t="s">
        <v>11</v>
      </c>
      <c r="O36" s="14" t="s">
        <v>12</v>
      </c>
    </row>
    <row r="37" spans="5:15" ht="15.95" customHeight="1" x14ac:dyDescent="0.25">
      <c r="E37" s="45"/>
      <c r="F37" s="46"/>
      <c r="G37" s="47"/>
      <c r="H37" s="47"/>
      <c r="I37" s="47"/>
      <c r="J37" s="47"/>
      <c r="K37" s="47"/>
      <c r="L37" s="47"/>
      <c r="M37" s="48"/>
      <c r="N37" s="48"/>
      <c r="O37" s="19"/>
    </row>
    <row r="38" spans="5:15" ht="15.95" customHeight="1" x14ac:dyDescent="0.25">
      <c r="E38" s="45" t="s">
        <v>26</v>
      </c>
      <c r="F38" s="49">
        <f>G38+H38+I38+J38+K38+L38+M38+N38+O38</f>
        <v>17391260</v>
      </c>
      <c r="G38" s="50">
        <v>1828156</v>
      </c>
      <c r="H38" s="50">
        <v>1073240</v>
      </c>
      <c r="I38" s="50">
        <v>8704</v>
      </c>
      <c r="J38" s="50">
        <v>5510504</v>
      </c>
      <c r="K38" s="50">
        <v>1252534</v>
      </c>
      <c r="L38" s="50">
        <v>677053</v>
      </c>
      <c r="M38" s="51">
        <v>5366851</v>
      </c>
      <c r="N38" s="51">
        <v>1674218</v>
      </c>
      <c r="O38" s="19">
        <v>0</v>
      </c>
    </row>
    <row r="39" spans="5:15" ht="15.95" customHeight="1" x14ac:dyDescent="0.25">
      <c r="E39" s="45" t="s">
        <v>27</v>
      </c>
      <c r="F39" s="49">
        <f>G39+H39+I39+J39+K39+L39+M39+N39+O39</f>
        <v>18010655</v>
      </c>
      <c r="G39" s="50">
        <v>1928326</v>
      </c>
      <c r="H39" s="50">
        <v>913166</v>
      </c>
      <c r="I39" s="50">
        <v>6859</v>
      </c>
      <c r="J39" s="50">
        <v>5429873</v>
      </c>
      <c r="K39" s="50">
        <v>1050606</v>
      </c>
      <c r="L39" s="50">
        <v>1580286</v>
      </c>
      <c r="M39" s="51">
        <v>5203741</v>
      </c>
      <c r="N39" s="51">
        <v>1897798</v>
      </c>
      <c r="O39" s="19">
        <v>0</v>
      </c>
    </row>
    <row r="40" spans="5:15" ht="15.95" customHeight="1" x14ac:dyDescent="0.25">
      <c r="E40" s="45" t="s">
        <v>28</v>
      </c>
      <c r="F40" s="49">
        <f>G40+H40+I40+J40+K40+L40+M40+N40+O40</f>
        <v>17675085</v>
      </c>
      <c r="G40" s="50">
        <v>1742961</v>
      </c>
      <c r="H40" s="50">
        <v>898508</v>
      </c>
      <c r="I40" s="50">
        <v>7497</v>
      </c>
      <c r="J40" s="50">
        <v>6252353</v>
      </c>
      <c r="K40" s="50">
        <v>956159</v>
      </c>
      <c r="L40" s="50">
        <v>1422068</v>
      </c>
      <c r="M40" s="51">
        <v>4622186</v>
      </c>
      <c r="N40" s="51">
        <v>1773353</v>
      </c>
      <c r="O40" s="19">
        <v>0</v>
      </c>
    </row>
    <row r="41" spans="5:15" ht="15.95" customHeight="1" x14ac:dyDescent="0.2">
      <c r="E41" s="52"/>
      <c r="F41" s="53">
        <f t="shared" ref="F41:L41" si="1">F38+F39+F40</f>
        <v>53077000</v>
      </c>
      <c r="G41" s="54">
        <f t="shared" si="1"/>
        <v>5499443</v>
      </c>
      <c r="H41" s="54">
        <f t="shared" si="1"/>
        <v>2884914</v>
      </c>
      <c r="I41" s="54">
        <f t="shared" si="1"/>
        <v>23060</v>
      </c>
      <c r="J41" s="54">
        <f t="shared" si="1"/>
        <v>17192730</v>
      </c>
      <c r="K41" s="54">
        <f t="shared" si="1"/>
        <v>3259299</v>
      </c>
      <c r="L41" s="54">
        <f t="shared" si="1"/>
        <v>3679407</v>
      </c>
      <c r="M41" s="55">
        <f>M38+M39+M40</f>
        <v>15192778</v>
      </c>
      <c r="N41" s="55">
        <f>N38+N39+N40</f>
        <v>5345369</v>
      </c>
      <c r="O41" s="56">
        <f>O38+O39+O40</f>
        <v>0</v>
      </c>
    </row>
    <row r="42" spans="5:15" ht="15.95" customHeight="1" x14ac:dyDescent="0.25">
      <c r="E42" s="45" t="s">
        <v>29</v>
      </c>
      <c r="F42" s="49">
        <f>G42+H42+I42+J42+K42+L42+M42+N42+O42</f>
        <v>20488721</v>
      </c>
      <c r="G42" s="50">
        <v>1968710</v>
      </c>
      <c r="H42" s="50">
        <v>1178685</v>
      </c>
      <c r="I42" s="50">
        <v>29279</v>
      </c>
      <c r="J42" s="50">
        <v>6336316</v>
      </c>
      <c r="K42" s="50">
        <v>1077655</v>
      </c>
      <c r="L42" s="50">
        <v>2302020</v>
      </c>
      <c r="M42" s="51">
        <v>5751889</v>
      </c>
      <c r="N42" s="51">
        <v>1843767</v>
      </c>
      <c r="O42" s="19">
        <v>400</v>
      </c>
    </row>
    <row r="43" spans="5:15" ht="15.95" customHeight="1" x14ac:dyDescent="0.25">
      <c r="E43" s="45" t="s">
        <v>30</v>
      </c>
      <c r="F43" s="49">
        <f>G43+H43+I43+J43+K43+L43+M43+N43+O43</f>
        <v>19413614</v>
      </c>
      <c r="G43" s="50">
        <v>1879836</v>
      </c>
      <c r="H43" s="50">
        <v>1106244</v>
      </c>
      <c r="I43" s="50">
        <v>4793</v>
      </c>
      <c r="J43" s="50">
        <v>7567370</v>
      </c>
      <c r="K43" s="50">
        <v>1006928</v>
      </c>
      <c r="L43" s="50">
        <v>1339871</v>
      </c>
      <c r="M43" s="51">
        <v>4210237</v>
      </c>
      <c r="N43" s="51">
        <v>2298335</v>
      </c>
      <c r="O43" s="19">
        <v>0</v>
      </c>
    </row>
    <row r="44" spans="5:15" ht="15.95" customHeight="1" x14ac:dyDescent="0.25">
      <c r="E44" s="45" t="s">
        <v>31</v>
      </c>
      <c r="F44" s="49">
        <f>G44+H44+I44+J44+K44+L44+M44+N44+O44</f>
        <v>17056820</v>
      </c>
      <c r="G44" s="50">
        <v>1905922</v>
      </c>
      <c r="H44" s="50">
        <v>1107162</v>
      </c>
      <c r="I44" s="50">
        <v>13225</v>
      </c>
      <c r="J44" s="50">
        <v>6384395</v>
      </c>
      <c r="K44" s="50">
        <v>1090472</v>
      </c>
      <c r="L44" s="50">
        <v>1369083</v>
      </c>
      <c r="M44" s="51">
        <v>4405450</v>
      </c>
      <c r="N44" s="51">
        <v>780711</v>
      </c>
      <c r="O44" s="19">
        <v>400</v>
      </c>
    </row>
    <row r="45" spans="5:15" ht="15.95" customHeight="1" x14ac:dyDescent="0.2">
      <c r="E45" s="52"/>
      <c r="F45" s="53">
        <f t="shared" ref="F45:L45" si="2">F42+F43+F44</f>
        <v>56959155</v>
      </c>
      <c r="G45" s="54">
        <f t="shared" si="2"/>
        <v>5754468</v>
      </c>
      <c r="H45" s="54">
        <f t="shared" si="2"/>
        <v>3392091</v>
      </c>
      <c r="I45" s="54">
        <f t="shared" si="2"/>
        <v>47297</v>
      </c>
      <c r="J45" s="54">
        <f t="shared" si="2"/>
        <v>20288081</v>
      </c>
      <c r="K45" s="54">
        <f t="shared" si="2"/>
        <v>3175055</v>
      </c>
      <c r="L45" s="54">
        <f t="shared" si="2"/>
        <v>5010974</v>
      </c>
      <c r="M45" s="55">
        <f>M42+M43+M44</f>
        <v>14367576</v>
      </c>
      <c r="N45" s="55">
        <f>N42+N43+N44</f>
        <v>4922813</v>
      </c>
      <c r="O45" s="56">
        <f>O42+O43+O44</f>
        <v>800</v>
      </c>
    </row>
    <row r="46" spans="5:15" ht="15.95" customHeight="1" x14ac:dyDescent="0.25">
      <c r="E46" s="45" t="s">
        <v>32</v>
      </c>
      <c r="F46" s="49">
        <f>G46+H46+I46+J46+K46+L46+M46+N46+O46</f>
        <v>24507960</v>
      </c>
      <c r="G46" s="50">
        <v>2357554</v>
      </c>
      <c r="H46" s="50">
        <v>1455426</v>
      </c>
      <c r="I46" s="50">
        <v>6273</v>
      </c>
      <c r="J46" s="50">
        <v>9092490</v>
      </c>
      <c r="K46" s="50">
        <v>1312452</v>
      </c>
      <c r="L46" s="50">
        <v>1019883</v>
      </c>
      <c r="M46" s="51">
        <v>6563588</v>
      </c>
      <c r="N46" s="51">
        <v>2699294</v>
      </c>
      <c r="O46" s="19">
        <v>1000</v>
      </c>
    </row>
    <row r="47" spans="5:15" ht="15.95" customHeight="1" x14ac:dyDescent="0.25">
      <c r="E47" s="45" t="s">
        <v>33</v>
      </c>
      <c r="F47" s="49">
        <f>G47+H47+I47+J47+K47+L47+M47+N47+O47</f>
        <v>19222517</v>
      </c>
      <c r="G47" s="50">
        <v>1933023</v>
      </c>
      <c r="H47" s="50">
        <v>1242926</v>
      </c>
      <c r="I47" s="50">
        <v>10237</v>
      </c>
      <c r="J47" s="50">
        <v>6097947</v>
      </c>
      <c r="K47" s="50">
        <v>1415825</v>
      </c>
      <c r="L47" s="50">
        <v>1633483</v>
      </c>
      <c r="M47" s="51">
        <v>5475701</v>
      </c>
      <c r="N47" s="51">
        <v>1413175</v>
      </c>
      <c r="O47" s="19">
        <v>200</v>
      </c>
    </row>
    <row r="48" spans="5:15" ht="15.95" customHeight="1" x14ac:dyDescent="0.25">
      <c r="E48" s="45" t="s">
        <v>34</v>
      </c>
      <c r="F48" s="49">
        <f>G48+H48+I48+J48+K48+L48+M48+N48+O48</f>
        <v>19729435</v>
      </c>
      <c r="G48" s="50">
        <v>1930920</v>
      </c>
      <c r="H48" s="50">
        <v>1282974</v>
      </c>
      <c r="I48" s="50">
        <v>8356</v>
      </c>
      <c r="J48" s="50">
        <v>6759899</v>
      </c>
      <c r="K48" s="50">
        <v>1303390</v>
      </c>
      <c r="L48" s="50">
        <v>1073337</v>
      </c>
      <c r="M48" s="51">
        <v>6097040</v>
      </c>
      <c r="N48" s="51">
        <v>1273319</v>
      </c>
      <c r="O48" s="19">
        <v>200</v>
      </c>
    </row>
    <row r="49" spans="5:15" ht="15.95" customHeight="1" x14ac:dyDescent="0.2">
      <c r="E49" s="52"/>
      <c r="F49" s="53">
        <f t="shared" ref="F49:L49" si="3">F46+F47+F48</f>
        <v>63459912</v>
      </c>
      <c r="G49" s="54">
        <f t="shared" si="3"/>
        <v>6221497</v>
      </c>
      <c r="H49" s="54">
        <f t="shared" si="3"/>
        <v>3981326</v>
      </c>
      <c r="I49" s="54">
        <f t="shared" si="3"/>
        <v>24866</v>
      </c>
      <c r="J49" s="54">
        <f t="shared" si="3"/>
        <v>21950336</v>
      </c>
      <c r="K49" s="54">
        <f t="shared" si="3"/>
        <v>4031667</v>
      </c>
      <c r="L49" s="54">
        <f t="shared" si="3"/>
        <v>3726703</v>
      </c>
      <c r="M49" s="55">
        <f>M46+M47+M48</f>
        <v>18136329</v>
      </c>
      <c r="N49" s="55">
        <f>N46+N47+N48</f>
        <v>5385788</v>
      </c>
      <c r="O49" s="56">
        <f>O46+O47+O48</f>
        <v>1400</v>
      </c>
    </row>
    <row r="50" spans="5:15" ht="15.95" customHeight="1" x14ac:dyDescent="0.25">
      <c r="E50" s="45" t="s">
        <v>35</v>
      </c>
      <c r="F50" s="49">
        <f>G50+H50+I50+J50+K50+L50+M50+N50+O50</f>
        <v>19903697</v>
      </c>
      <c r="G50" s="50">
        <v>1939875</v>
      </c>
      <c r="H50" s="50">
        <v>1243333</v>
      </c>
      <c r="I50" s="50">
        <v>6581</v>
      </c>
      <c r="J50" s="50">
        <v>6988726</v>
      </c>
      <c r="K50" s="50">
        <v>1404749</v>
      </c>
      <c r="L50" s="50">
        <v>761683</v>
      </c>
      <c r="M50" s="51">
        <v>6283555</v>
      </c>
      <c r="N50" s="51">
        <v>1275195</v>
      </c>
      <c r="O50" s="19">
        <v>0</v>
      </c>
    </row>
    <row r="51" spans="5:15" ht="15.95" customHeight="1" x14ac:dyDescent="0.25">
      <c r="E51" s="45" t="s">
        <v>36</v>
      </c>
      <c r="F51" s="49">
        <f>G51+H51+I51+J51+K51+L51+M51+N51+O51</f>
        <v>18879274</v>
      </c>
      <c r="G51" s="50">
        <v>1593151</v>
      </c>
      <c r="H51" s="50">
        <v>1008438</v>
      </c>
      <c r="I51" s="50">
        <v>6792</v>
      </c>
      <c r="J51" s="50">
        <v>6074703</v>
      </c>
      <c r="K51" s="50">
        <v>1131759</v>
      </c>
      <c r="L51" s="50">
        <v>2423001</v>
      </c>
      <c r="M51" s="51">
        <v>5242012</v>
      </c>
      <c r="N51" s="51">
        <v>1399218</v>
      </c>
      <c r="O51" s="19">
        <v>200</v>
      </c>
    </row>
    <row r="52" spans="5:15" ht="15.95" customHeight="1" x14ac:dyDescent="0.25">
      <c r="E52" s="45" t="s">
        <v>37</v>
      </c>
      <c r="F52" s="49">
        <f>G52+H52+I52+J52+K52+L52+M52+N52+O52</f>
        <v>18043617</v>
      </c>
      <c r="G52" s="50">
        <v>1735663</v>
      </c>
      <c r="H52" s="50">
        <v>1053419</v>
      </c>
      <c r="I52" s="50">
        <v>1199</v>
      </c>
      <c r="J52" s="50">
        <v>5430562</v>
      </c>
      <c r="K52" s="50">
        <v>1787685</v>
      </c>
      <c r="L52" s="50">
        <v>683067</v>
      </c>
      <c r="M52" s="51">
        <v>5541611</v>
      </c>
      <c r="N52" s="51">
        <v>1810411</v>
      </c>
      <c r="O52" s="19">
        <v>0</v>
      </c>
    </row>
    <row r="53" spans="5:15" ht="15.95" customHeight="1" x14ac:dyDescent="0.2">
      <c r="E53" s="52"/>
      <c r="F53" s="53">
        <f t="shared" ref="F53:L53" si="4">F50+F51+F52</f>
        <v>56826588</v>
      </c>
      <c r="G53" s="54">
        <f t="shared" si="4"/>
        <v>5268689</v>
      </c>
      <c r="H53" s="54">
        <f t="shared" si="4"/>
        <v>3305190</v>
      </c>
      <c r="I53" s="54">
        <f t="shared" si="4"/>
        <v>14572</v>
      </c>
      <c r="J53" s="54">
        <f t="shared" si="4"/>
        <v>18493991</v>
      </c>
      <c r="K53" s="54">
        <f t="shared" si="4"/>
        <v>4324193</v>
      </c>
      <c r="L53" s="54">
        <f t="shared" si="4"/>
        <v>3867751</v>
      </c>
      <c r="M53" s="55">
        <f>M50+M51+M52</f>
        <v>17067178</v>
      </c>
      <c r="N53" s="55">
        <f>N50+N51+N52</f>
        <v>4484824</v>
      </c>
      <c r="O53" s="56">
        <f>O50+O51+O52</f>
        <v>200</v>
      </c>
    </row>
    <row r="54" spans="5:15" ht="15.95" customHeight="1" x14ac:dyDescent="0.2">
      <c r="E54" s="57" t="s">
        <v>38</v>
      </c>
      <c r="F54" s="53">
        <f t="shared" ref="F54:L54" si="5">F38+F39+F40+F42+F43+F44+F46+F47+F48+F50+F51+F52</f>
        <v>230322655</v>
      </c>
      <c r="G54" s="54">
        <f t="shared" si="5"/>
        <v>22744097</v>
      </c>
      <c r="H54" s="54">
        <f t="shared" si="5"/>
        <v>13563521</v>
      </c>
      <c r="I54" s="54">
        <f t="shared" si="5"/>
        <v>109795</v>
      </c>
      <c r="J54" s="54">
        <f t="shared" si="5"/>
        <v>77925138</v>
      </c>
      <c r="K54" s="54">
        <f t="shared" si="5"/>
        <v>14790214</v>
      </c>
      <c r="L54" s="54">
        <f t="shared" si="5"/>
        <v>16284835</v>
      </c>
      <c r="M54" s="55">
        <f>M38+M39+M40+M42+M43+M44+M46+M47+M48+M50+M51+M52</f>
        <v>64763861</v>
      </c>
      <c r="N54" s="55">
        <f>N38+N39+N40+N42+N43+N44+N46+N47+N48+N50+N51+N52</f>
        <v>20138794</v>
      </c>
      <c r="O54" s="56">
        <f>O38+O39+O40+O42+O43+O44+O46+O47+O48+O50+O51+O52</f>
        <v>2400</v>
      </c>
    </row>
    <row r="55" spans="5:15" ht="15.95" customHeight="1" thickBot="1" x14ac:dyDescent="0.3">
      <c r="E55" s="58"/>
      <c r="F55" s="26"/>
      <c r="G55" s="27"/>
      <c r="H55" s="27"/>
      <c r="I55" s="27"/>
      <c r="J55" s="27"/>
      <c r="K55" s="27"/>
      <c r="L55" s="27"/>
      <c r="M55" s="28"/>
      <c r="N55" s="28"/>
      <c r="O55" s="29"/>
    </row>
    <row r="56" spans="5:15" ht="16.5" thickTop="1" x14ac:dyDescent="0.25">
      <c r="F56" s="59"/>
      <c r="G56" s="60"/>
      <c r="H56" s="60"/>
      <c r="I56" s="60"/>
      <c r="J56" s="60"/>
      <c r="K56" s="60"/>
      <c r="L56" s="60"/>
      <c r="M56" s="60"/>
      <c r="N56" s="60"/>
      <c r="O56" s="32"/>
    </row>
    <row r="57" spans="5:15" ht="15.75" x14ac:dyDescent="0.25">
      <c r="E57" s="33" t="s">
        <v>23</v>
      </c>
      <c r="F57" s="59"/>
      <c r="G57" s="60"/>
      <c r="H57" s="60"/>
      <c r="I57" s="60"/>
      <c r="J57" s="60"/>
      <c r="K57" s="60"/>
      <c r="L57" s="60"/>
      <c r="M57" s="60"/>
      <c r="N57" s="60"/>
      <c r="O57" s="32"/>
    </row>
    <row r="58" spans="5:15" ht="15.75" x14ac:dyDescent="0.25">
      <c r="E58" s="61"/>
      <c r="F58" s="59"/>
      <c r="G58" s="60"/>
      <c r="H58" s="60"/>
      <c r="I58" s="60"/>
      <c r="J58" s="60"/>
      <c r="K58" s="60"/>
      <c r="L58" s="60"/>
      <c r="M58" s="60"/>
      <c r="N58" s="60"/>
      <c r="O58" s="37"/>
    </row>
    <row r="59" spans="5:15" ht="15.75" x14ac:dyDescent="0.25">
      <c r="F59" s="59"/>
      <c r="G59" s="60"/>
      <c r="H59" s="60"/>
      <c r="I59" s="60"/>
      <c r="J59" s="60"/>
      <c r="K59" s="60"/>
      <c r="L59" s="60"/>
      <c r="M59" s="60"/>
      <c r="N59" s="60"/>
    </row>
    <row r="60" spans="5:15" ht="15.75" x14ac:dyDescent="0.25">
      <c r="F60" s="59"/>
      <c r="G60" s="60"/>
      <c r="H60" s="60"/>
      <c r="I60" s="60"/>
      <c r="J60" s="60"/>
      <c r="K60" s="60"/>
      <c r="L60" s="60"/>
      <c r="M60" s="60"/>
      <c r="N60" s="60"/>
    </row>
    <row r="61" spans="5:15" ht="15.75" x14ac:dyDescent="0.25">
      <c r="F61" s="59"/>
      <c r="G61" s="60"/>
      <c r="H61" s="60"/>
      <c r="I61" s="60"/>
      <c r="J61" s="60"/>
      <c r="K61" s="60"/>
      <c r="L61" s="60"/>
      <c r="M61" s="60"/>
      <c r="N61" s="60"/>
    </row>
    <row r="62" spans="5:15" ht="15.75" x14ac:dyDescent="0.25">
      <c r="F62" s="59"/>
      <c r="G62" s="60"/>
      <c r="H62" s="60"/>
      <c r="I62" s="60"/>
      <c r="J62" s="60"/>
      <c r="K62" s="60"/>
      <c r="L62" s="60"/>
      <c r="M62" s="60"/>
      <c r="N62" s="60"/>
    </row>
    <row r="63" spans="5:15" ht="15.75" x14ac:dyDescent="0.25">
      <c r="F63" s="59"/>
      <c r="G63" s="60"/>
      <c r="H63" s="60"/>
      <c r="I63" s="60"/>
      <c r="J63" s="60"/>
      <c r="K63" s="60"/>
      <c r="L63" s="60"/>
      <c r="M63" s="60"/>
      <c r="N63" s="60"/>
    </row>
    <row r="64" spans="5:15" ht="15.75" x14ac:dyDescent="0.25">
      <c r="F64" s="59"/>
      <c r="G64" s="60"/>
      <c r="H64" s="60"/>
      <c r="I64" s="60"/>
      <c r="J64" s="60"/>
      <c r="K64" s="60"/>
      <c r="L64" s="60"/>
      <c r="M64" s="60"/>
      <c r="N64" s="60"/>
    </row>
    <row r="65" spans="6:14" ht="15.75" x14ac:dyDescent="0.25">
      <c r="F65" s="59"/>
      <c r="G65" s="60"/>
      <c r="H65" s="60"/>
      <c r="I65" s="60"/>
      <c r="J65" s="60"/>
      <c r="K65" s="60"/>
      <c r="L65" s="60"/>
      <c r="M65" s="60"/>
      <c r="N65" s="60"/>
    </row>
    <row r="66" spans="6:14" ht="15.75" x14ac:dyDescent="0.25">
      <c r="F66" s="59"/>
      <c r="G66" s="60"/>
      <c r="H66" s="60"/>
      <c r="I66" s="60"/>
      <c r="J66" s="60"/>
      <c r="K66" s="60"/>
      <c r="L66" s="60"/>
      <c r="M66" s="60"/>
      <c r="N66" s="60"/>
    </row>
    <row r="67" spans="6:14" ht="15.75" x14ac:dyDescent="0.25">
      <c r="F67" s="59"/>
      <c r="G67" s="60"/>
      <c r="H67" s="60"/>
      <c r="I67" s="60"/>
      <c r="J67" s="60"/>
      <c r="K67" s="60"/>
      <c r="L67" s="60"/>
      <c r="M67" s="60"/>
      <c r="N67" s="60"/>
    </row>
    <row r="68" spans="6:14" ht="15.75" x14ac:dyDescent="0.25">
      <c r="F68" s="59"/>
      <c r="G68" s="60"/>
      <c r="H68" s="60"/>
      <c r="I68" s="60"/>
      <c r="J68" s="60"/>
      <c r="K68" s="60"/>
      <c r="L68" s="60"/>
      <c r="M68" s="60"/>
      <c r="N68" s="60"/>
    </row>
    <row r="69" spans="6:14" ht="15.75" x14ac:dyDescent="0.25">
      <c r="F69" s="59"/>
      <c r="G69" s="60"/>
      <c r="H69" s="60"/>
      <c r="I69" s="60"/>
      <c r="J69" s="60"/>
      <c r="K69" s="60"/>
      <c r="L69" s="60"/>
      <c r="M69" s="60"/>
      <c r="N69" s="60"/>
    </row>
    <row r="70" spans="6:14" ht="15.75" x14ac:dyDescent="0.25">
      <c r="F70" s="59"/>
      <c r="G70" s="60"/>
      <c r="H70" s="60"/>
      <c r="I70" s="60"/>
      <c r="J70" s="60"/>
      <c r="K70" s="60"/>
      <c r="L70" s="60"/>
      <c r="M70" s="60"/>
      <c r="N70" s="60"/>
    </row>
    <row r="71" spans="6:14" ht="15.75" x14ac:dyDescent="0.25">
      <c r="F71" s="59"/>
      <c r="G71" s="60"/>
      <c r="H71" s="60"/>
      <c r="I71" s="60"/>
      <c r="J71" s="60"/>
      <c r="K71" s="60"/>
      <c r="L71" s="60"/>
      <c r="M71" s="60"/>
      <c r="N71" s="60"/>
    </row>
    <row r="72" spans="6:14" ht="15.75" x14ac:dyDescent="0.25">
      <c r="F72" s="59"/>
      <c r="G72" s="60"/>
      <c r="H72" s="60"/>
      <c r="I72" s="60"/>
      <c r="J72" s="60"/>
      <c r="K72" s="60"/>
      <c r="L72" s="60"/>
      <c r="M72" s="60"/>
      <c r="N72" s="60"/>
    </row>
    <row r="73" spans="6:14" ht="15.75" x14ac:dyDescent="0.25">
      <c r="F73" s="59"/>
      <c r="G73" s="60"/>
      <c r="H73" s="60"/>
      <c r="I73" s="60"/>
      <c r="J73" s="60"/>
      <c r="K73" s="60"/>
      <c r="L73" s="60"/>
      <c r="M73" s="60"/>
      <c r="N73" s="60"/>
    </row>
    <row r="74" spans="6:14" ht="15.75" x14ac:dyDescent="0.25">
      <c r="F74" s="59"/>
      <c r="G74" s="60"/>
      <c r="H74" s="60"/>
      <c r="I74" s="60"/>
      <c r="J74" s="60"/>
      <c r="K74" s="60"/>
      <c r="L74" s="60"/>
      <c r="M74" s="60"/>
      <c r="N74" s="60"/>
    </row>
    <row r="75" spans="6:14" ht="15.75" x14ac:dyDescent="0.25">
      <c r="F75" s="59"/>
      <c r="G75" s="60"/>
      <c r="H75" s="60"/>
      <c r="I75" s="60"/>
      <c r="J75" s="60"/>
      <c r="K75" s="60"/>
      <c r="L75" s="60"/>
      <c r="M75" s="60"/>
      <c r="N75" s="60"/>
    </row>
    <row r="76" spans="6:14" ht="15.75" x14ac:dyDescent="0.25">
      <c r="F76" s="59"/>
      <c r="G76" s="60"/>
      <c r="H76" s="60"/>
      <c r="I76" s="60"/>
      <c r="J76" s="60"/>
      <c r="K76" s="60"/>
      <c r="L76" s="60"/>
      <c r="M76" s="60"/>
      <c r="N76" s="60"/>
    </row>
    <row r="77" spans="6:14" ht="15.75" x14ac:dyDescent="0.25">
      <c r="F77" s="59"/>
      <c r="G77" s="60"/>
      <c r="H77" s="60"/>
      <c r="I77" s="60"/>
      <c r="J77" s="60"/>
      <c r="K77" s="60"/>
      <c r="L77" s="60"/>
      <c r="M77" s="60"/>
      <c r="N77" s="60"/>
    </row>
    <row r="78" spans="6:14" ht="15.75" x14ac:dyDescent="0.25">
      <c r="F78" s="59"/>
      <c r="G78" s="60"/>
      <c r="H78" s="60"/>
      <c r="I78" s="60"/>
      <c r="J78" s="60"/>
      <c r="K78" s="60"/>
      <c r="L78" s="60"/>
      <c r="M78" s="60"/>
      <c r="N78" s="60"/>
    </row>
    <row r="79" spans="6:14" ht="15.75" x14ac:dyDescent="0.25">
      <c r="F79" s="59"/>
      <c r="G79" s="60"/>
      <c r="H79" s="60"/>
      <c r="I79" s="60"/>
      <c r="J79" s="60"/>
      <c r="K79" s="60"/>
      <c r="L79" s="60"/>
      <c r="M79" s="60"/>
      <c r="N79" s="60"/>
    </row>
    <row r="80" spans="6:14" ht="15.75" x14ac:dyDescent="0.25">
      <c r="F80" s="59"/>
      <c r="G80" s="60"/>
      <c r="H80" s="60"/>
      <c r="I80" s="60"/>
      <c r="J80" s="60"/>
      <c r="K80" s="60"/>
      <c r="L80" s="60"/>
      <c r="M80" s="60"/>
      <c r="N80" s="60"/>
    </row>
    <row r="81" spans="6:14" ht="15.75" x14ac:dyDescent="0.25">
      <c r="F81" s="59"/>
      <c r="G81" s="60"/>
      <c r="H81" s="60"/>
      <c r="I81" s="60"/>
      <c r="J81" s="60"/>
      <c r="K81" s="60"/>
      <c r="L81" s="60"/>
      <c r="M81" s="60"/>
      <c r="N81" s="60"/>
    </row>
    <row r="82" spans="6:14" ht="15.75" x14ac:dyDescent="0.25">
      <c r="F82" s="59"/>
      <c r="G82" s="60"/>
      <c r="H82" s="60"/>
      <c r="I82" s="60"/>
      <c r="J82" s="60"/>
      <c r="K82" s="60"/>
      <c r="L82" s="60"/>
      <c r="M82" s="60"/>
      <c r="N82" s="60"/>
    </row>
    <row r="83" spans="6:14" ht="15.75" x14ac:dyDescent="0.25">
      <c r="F83" s="59"/>
      <c r="G83" s="60"/>
      <c r="H83" s="60"/>
      <c r="I83" s="60"/>
      <c r="J83" s="60"/>
      <c r="K83" s="60"/>
      <c r="L83" s="60"/>
      <c r="M83" s="60"/>
      <c r="N83" s="60"/>
    </row>
    <row r="84" spans="6:14" ht="15.75" x14ac:dyDescent="0.25">
      <c r="F84" s="59"/>
      <c r="G84" s="60"/>
      <c r="H84" s="60"/>
      <c r="I84" s="60"/>
      <c r="J84" s="60"/>
      <c r="K84" s="60"/>
      <c r="L84" s="60"/>
      <c r="M84" s="60"/>
      <c r="N84" s="60"/>
    </row>
    <row r="85" spans="6:14" ht="15.75" x14ac:dyDescent="0.25">
      <c r="F85" s="59"/>
      <c r="G85" s="60"/>
      <c r="H85" s="60"/>
      <c r="I85" s="60"/>
      <c r="J85" s="60"/>
      <c r="K85" s="60"/>
      <c r="L85" s="60"/>
      <c r="M85" s="60"/>
      <c r="N85" s="60"/>
    </row>
    <row r="86" spans="6:14" ht="15.75" x14ac:dyDescent="0.25">
      <c r="F86" s="59"/>
      <c r="G86" s="60"/>
      <c r="H86" s="60"/>
      <c r="I86" s="60"/>
      <c r="J86" s="60"/>
      <c r="K86" s="60"/>
      <c r="L86" s="60"/>
      <c r="M86" s="60"/>
      <c r="N86" s="60"/>
    </row>
    <row r="87" spans="6:14" ht="15.75" x14ac:dyDescent="0.25">
      <c r="F87" s="59"/>
      <c r="G87" s="60"/>
      <c r="H87" s="60"/>
      <c r="I87" s="60"/>
      <c r="J87" s="60"/>
      <c r="K87" s="60"/>
      <c r="L87" s="60"/>
      <c r="M87" s="60"/>
      <c r="N87" s="60"/>
    </row>
    <row r="88" spans="6:14" ht="15.75" x14ac:dyDescent="0.25">
      <c r="F88" s="59"/>
      <c r="G88" s="60"/>
      <c r="H88" s="60"/>
      <c r="I88" s="60"/>
      <c r="J88" s="60"/>
      <c r="K88" s="60"/>
      <c r="L88" s="60"/>
      <c r="M88" s="60"/>
      <c r="N88" s="60"/>
    </row>
    <row r="89" spans="6:14" ht="15.75" x14ac:dyDescent="0.25">
      <c r="F89" s="59"/>
      <c r="G89" s="60"/>
      <c r="H89" s="60"/>
      <c r="I89" s="60"/>
      <c r="J89" s="60"/>
      <c r="K89" s="60"/>
      <c r="L89" s="60"/>
      <c r="M89" s="60"/>
      <c r="N89" s="60"/>
    </row>
    <row r="90" spans="6:14" ht="15.75" x14ac:dyDescent="0.25">
      <c r="F90" s="59"/>
      <c r="G90" s="60"/>
      <c r="H90" s="60"/>
      <c r="I90" s="60"/>
      <c r="J90" s="60"/>
      <c r="K90" s="60"/>
      <c r="L90" s="60"/>
      <c r="M90" s="60"/>
      <c r="N90" s="60"/>
    </row>
    <row r="91" spans="6:14" ht="15.75" x14ac:dyDescent="0.25">
      <c r="F91" s="59"/>
      <c r="G91" s="60"/>
      <c r="H91" s="60"/>
      <c r="I91" s="60"/>
      <c r="J91" s="60"/>
      <c r="K91" s="60"/>
      <c r="L91" s="60"/>
      <c r="M91" s="60"/>
      <c r="N91" s="60"/>
    </row>
    <row r="92" spans="6:14" ht="15.75" x14ac:dyDescent="0.25">
      <c r="F92" s="59"/>
      <c r="G92" s="60"/>
      <c r="H92" s="60"/>
      <c r="I92" s="60"/>
      <c r="J92" s="60"/>
      <c r="K92" s="60"/>
      <c r="L92" s="60"/>
      <c r="M92" s="60"/>
      <c r="N92" s="60"/>
    </row>
    <row r="93" spans="6:14" ht="15.75" x14ac:dyDescent="0.25">
      <c r="F93" s="59"/>
      <c r="G93" s="60"/>
      <c r="H93" s="60"/>
      <c r="I93" s="60"/>
      <c r="J93" s="60"/>
      <c r="K93" s="60"/>
      <c r="L93" s="60"/>
      <c r="M93" s="60"/>
      <c r="N93" s="60"/>
    </row>
    <row r="94" spans="6:14" ht="15.75" x14ac:dyDescent="0.25">
      <c r="F94" s="59"/>
      <c r="G94" s="60"/>
      <c r="H94" s="60"/>
      <c r="I94" s="60"/>
      <c r="J94" s="60"/>
      <c r="K94" s="60"/>
      <c r="L94" s="60"/>
      <c r="M94" s="60"/>
      <c r="N94" s="60"/>
    </row>
    <row r="95" spans="6:14" ht="15.75" x14ac:dyDescent="0.25">
      <c r="F95" s="59"/>
      <c r="G95" s="60"/>
      <c r="H95" s="60"/>
      <c r="I95" s="60"/>
      <c r="J95" s="60"/>
      <c r="K95" s="60"/>
      <c r="L95" s="60"/>
      <c r="M95" s="60"/>
      <c r="N95" s="60"/>
    </row>
    <row r="96" spans="6:14" ht="15.75" x14ac:dyDescent="0.25">
      <c r="F96" s="59"/>
      <c r="G96" s="60"/>
      <c r="H96" s="60"/>
      <c r="I96" s="60"/>
      <c r="J96" s="60"/>
      <c r="K96" s="60"/>
      <c r="L96" s="60"/>
      <c r="M96" s="60"/>
      <c r="N96" s="60"/>
    </row>
    <row r="97" spans="6:14" ht="15.75" x14ac:dyDescent="0.25">
      <c r="F97" s="59"/>
      <c r="G97" s="60"/>
      <c r="H97" s="60"/>
      <c r="I97" s="60"/>
      <c r="J97" s="60"/>
      <c r="K97" s="60"/>
      <c r="L97" s="60"/>
      <c r="M97" s="60"/>
      <c r="N97" s="60"/>
    </row>
    <row r="98" spans="6:14" ht="15.75" x14ac:dyDescent="0.25">
      <c r="F98" s="59"/>
      <c r="G98" s="60"/>
      <c r="H98" s="60"/>
      <c r="I98" s="60"/>
      <c r="J98" s="60"/>
      <c r="K98" s="60"/>
      <c r="L98" s="60"/>
      <c r="M98" s="60"/>
      <c r="N98" s="60"/>
    </row>
    <row r="99" spans="6:14" ht="15.75" x14ac:dyDescent="0.25">
      <c r="F99" s="59"/>
      <c r="G99" s="60"/>
      <c r="H99" s="60"/>
      <c r="I99" s="60"/>
      <c r="J99" s="60"/>
      <c r="K99" s="60"/>
      <c r="L99" s="60"/>
      <c r="M99" s="60"/>
      <c r="N99" s="60"/>
    </row>
    <row r="100" spans="6:14" ht="15.75" x14ac:dyDescent="0.25">
      <c r="F100" s="59"/>
      <c r="G100" s="60"/>
      <c r="H100" s="60"/>
      <c r="I100" s="60"/>
      <c r="J100" s="60"/>
      <c r="K100" s="60"/>
      <c r="L100" s="60"/>
      <c r="M100" s="60"/>
      <c r="N100" s="60"/>
    </row>
    <row r="101" spans="6:14" ht="15.75" x14ac:dyDescent="0.25">
      <c r="F101" s="59"/>
      <c r="G101" s="60"/>
      <c r="H101" s="60"/>
      <c r="I101" s="60"/>
      <c r="J101" s="60"/>
      <c r="K101" s="60"/>
      <c r="L101" s="60"/>
      <c r="M101" s="60"/>
      <c r="N101" s="60"/>
    </row>
    <row r="102" spans="6:14" ht="15.75" x14ac:dyDescent="0.25">
      <c r="F102" s="59"/>
      <c r="G102" s="60"/>
      <c r="H102" s="60"/>
      <c r="I102" s="60"/>
      <c r="J102" s="60"/>
      <c r="K102" s="60"/>
      <c r="L102" s="60"/>
      <c r="M102" s="60"/>
      <c r="N102" s="60"/>
    </row>
    <row r="103" spans="6:14" ht="15.75" x14ac:dyDescent="0.25">
      <c r="F103" s="59"/>
      <c r="G103" s="60"/>
      <c r="H103" s="60"/>
      <c r="I103" s="60"/>
      <c r="J103" s="60"/>
      <c r="K103" s="60"/>
      <c r="L103" s="60"/>
      <c r="M103" s="60"/>
      <c r="N103" s="60"/>
    </row>
    <row r="104" spans="6:14" ht="15.75" x14ac:dyDescent="0.25">
      <c r="F104" s="59"/>
      <c r="G104" s="60"/>
      <c r="H104" s="60"/>
      <c r="I104" s="60"/>
      <c r="J104" s="60"/>
      <c r="K104" s="60"/>
      <c r="L104" s="60"/>
      <c r="M104" s="60"/>
      <c r="N104" s="60"/>
    </row>
    <row r="105" spans="6:14" ht="15.75" x14ac:dyDescent="0.25">
      <c r="F105" s="59"/>
      <c r="G105" s="60"/>
      <c r="H105" s="60"/>
      <c r="I105" s="60"/>
      <c r="J105" s="60"/>
      <c r="K105" s="60"/>
      <c r="L105" s="60"/>
      <c r="M105" s="60"/>
      <c r="N105" s="60"/>
    </row>
    <row r="106" spans="6:14" ht="15.75" x14ac:dyDescent="0.25">
      <c r="F106" s="59"/>
      <c r="G106" s="60"/>
      <c r="H106" s="60"/>
      <c r="I106" s="60"/>
      <c r="J106" s="60"/>
      <c r="K106" s="60"/>
      <c r="L106" s="60"/>
      <c r="M106" s="60"/>
      <c r="N106" s="60"/>
    </row>
    <row r="107" spans="6:14" ht="15.75" x14ac:dyDescent="0.25">
      <c r="F107" s="59"/>
      <c r="G107" s="60"/>
      <c r="H107" s="60"/>
      <c r="I107" s="60"/>
      <c r="J107" s="60"/>
      <c r="K107" s="60"/>
      <c r="L107" s="60"/>
      <c r="M107" s="60"/>
      <c r="N107" s="60"/>
    </row>
    <row r="108" spans="6:14" ht="15.75" x14ac:dyDescent="0.25">
      <c r="F108" s="59"/>
      <c r="G108" s="60"/>
      <c r="H108" s="60"/>
      <c r="I108" s="60"/>
      <c r="J108" s="60"/>
      <c r="K108" s="60"/>
      <c r="L108" s="60"/>
      <c r="M108" s="60"/>
      <c r="N108" s="60"/>
    </row>
    <row r="109" spans="6:14" ht="15.75" x14ac:dyDescent="0.25">
      <c r="F109" s="59"/>
      <c r="G109" s="60"/>
      <c r="H109" s="60"/>
      <c r="I109" s="60"/>
      <c r="J109" s="60"/>
      <c r="K109" s="60"/>
      <c r="L109" s="60"/>
      <c r="M109" s="60"/>
      <c r="N109" s="60"/>
    </row>
    <row r="110" spans="6:14" ht="15.75" x14ac:dyDescent="0.25">
      <c r="F110" s="59"/>
      <c r="G110" s="60"/>
      <c r="H110" s="60"/>
      <c r="I110" s="60"/>
      <c r="J110" s="60"/>
      <c r="K110" s="60"/>
      <c r="L110" s="60"/>
      <c r="M110" s="60"/>
      <c r="N110" s="60"/>
    </row>
    <row r="111" spans="6:14" ht="15.75" x14ac:dyDescent="0.25">
      <c r="F111" s="59"/>
      <c r="G111" s="60"/>
      <c r="H111" s="60"/>
      <c r="I111" s="60"/>
      <c r="J111" s="60"/>
      <c r="K111" s="60"/>
      <c r="L111" s="60"/>
      <c r="M111" s="60"/>
      <c r="N111" s="60"/>
    </row>
    <row r="112" spans="6:14" ht="15.75" x14ac:dyDescent="0.25">
      <c r="F112" s="59"/>
      <c r="G112" s="60"/>
      <c r="H112" s="60"/>
      <c r="I112" s="60"/>
      <c r="J112" s="60"/>
      <c r="K112" s="60"/>
      <c r="L112" s="60"/>
      <c r="M112" s="60"/>
      <c r="N112" s="60"/>
    </row>
    <row r="113" spans="6:14" ht="15.75" x14ac:dyDescent="0.25">
      <c r="F113" s="59"/>
      <c r="G113" s="60"/>
      <c r="H113" s="60"/>
      <c r="I113" s="60"/>
      <c r="J113" s="60"/>
      <c r="K113" s="60"/>
      <c r="L113" s="60"/>
      <c r="M113" s="60"/>
      <c r="N113" s="60"/>
    </row>
    <row r="114" spans="6:14" ht="15.75" x14ac:dyDescent="0.25">
      <c r="F114" s="59"/>
      <c r="G114" s="60"/>
      <c r="H114" s="60"/>
      <c r="I114" s="60"/>
      <c r="J114" s="60"/>
      <c r="K114" s="60"/>
      <c r="L114" s="60"/>
      <c r="M114" s="60"/>
      <c r="N114" s="60"/>
    </row>
    <row r="115" spans="6:14" ht="15.75" x14ac:dyDescent="0.25">
      <c r="F115" s="59"/>
      <c r="G115" s="60"/>
      <c r="H115" s="60"/>
      <c r="I115" s="60"/>
      <c r="J115" s="60"/>
      <c r="K115" s="60"/>
      <c r="L115" s="60"/>
      <c r="M115" s="60"/>
      <c r="N115" s="60"/>
    </row>
    <row r="116" spans="6:14" ht="15.75" x14ac:dyDescent="0.25">
      <c r="F116" s="59"/>
      <c r="G116" s="60"/>
      <c r="H116" s="60"/>
      <c r="I116" s="60"/>
      <c r="J116" s="60"/>
      <c r="K116" s="60"/>
      <c r="L116" s="60"/>
      <c r="M116" s="60"/>
      <c r="N116" s="60"/>
    </row>
    <row r="117" spans="6:14" ht="15.75" x14ac:dyDescent="0.25">
      <c r="F117" s="59"/>
      <c r="G117" s="60"/>
      <c r="H117" s="60"/>
      <c r="I117" s="60"/>
      <c r="J117" s="60"/>
      <c r="K117" s="60"/>
      <c r="L117" s="60"/>
      <c r="M117" s="60"/>
      <c r="N117" s="60"/>
    </row>
    <row r="118" spans="6:14" ht="15.75" x14ac:dyDescent="0.25">
      <c r="F118" s="59"/>
      <c r="G118" s="60"/>
      <c r="H118" s="60"/>
      <c r="I118" s="60"/>
      <c r="J118" s="60"/>
      <c r="K118" s="60"/>
      <c r="L118" s="60"/>
      <c r="M118" s="60"/>
      <c r="N118" s="60"/>
    </row>
    <row r="119" spans="6:14" ht="15.75" x14ac:dyDescent="0.25">
      <c r="F119" s="59"/>
      <c r="G119" s="60"/>
      <c r="H119" s="60"/>
      <c r="I119" s="60"/>
      <c r="J119" s="60"/>
      <c r="K119" s="60"/>
      <c r="L119" s="60"/>
      <c r="M119" s="60"/>
      <c r="N119" s="60"/>
    </row>
    <row r="120" spans="6:14" ht="15.75" x14ac:dyDescent="0.25">
      <c r="F120" s="59"/>
      <c r="G120" s="60"/>
      <c r="H120" s="60"/>
      <c r="I120" s="60"/>
      <c r="J120" s="60"/>
      <c r="K120" s="60"/>
      <c r="L120" s="60"/>
      <c r="M120" s="60"/>
      <c r="N120" s="60"/>
    </row>
    <row r="121" spans="6:14" ht="15.75" x14ac:dyDescent="0.25">
      <c r="F121" s="59"/>
      <c r="G121" s="60"/>
      <c r="H121" s="60"/>
      <c r="I121" s="60"/>
      <c r="J121" s="60"/>
      <c r="K121" s="60"/>
      <c r="L121" s="60"/>
      <c r="M121" s="60"/>
      <c r="N121" s="60"/>
    </row>
    <row r="122" spans="6:14" ht="15.75" x14ac:dyDescent="0.25">
      <c r="F122" s="59"/>
      <c r="G122" s="60"/>
      <c r="H122" s="60"/>
      <c r="I122" s="60"/>
      <c r="J122" s="60"/>
      <c r="K122" s="60"/>
      <c r="L122" s="60"/>
      <c r="M122" s="60"/>
      <c r="N122" s="60"/>
    </row>
    <row r="123" spans="6:14" ht="15.75" x14ac:dyDescent="0.25">
      <c r="F123" s="59"/>
      <c r="G123" s="60"/>
      <c r="H123" s="60"/>
      <c r="I123" s="60"/>
      <c r="J123" s="60"/>
      <c r="K123" s="60"/>
      <c r="L123" s="60"/>
      <c r="M123" s="60"/>
      <c r="N123" s="60"/>
    </row>
    <row r="124" spans="6:14" ht="15.75" x14ac:dyDescent="0.25">
      <c r="F124" s="59"/>
      <c r="G124" s="60"/>
      <c r="H124" s="60"/>
      <c r="I124" s="60"/>
      <c r="J124" s="60"/>
      <c r="K124" s="60"/>
      <c r="L124" s="60"/>
      <c r="M124" s="60"/>
      <c r="N124" s="60"/>
    </row>
    <row r="125" spans="6:14" ht="15.75" x14ac:dyDescent="0.25">
      <c r="F125" s="59"/>
      <c r="G125" s="60"/>
      <c r="H125" s="60"/>
      <c r="I125" s="60"/>
      <c r="J125" s="60"/>
      <c r="K125" s="60"/>
      <c r="L125" s="60"/>
      <c r="M125" s="60"/>
      <c r="N125" s="60"/>
    </row>
    <row r="126" spans="6:14" ht="15.75" x14ac:dyDescent="0.25">
      <c r="F126" s="59"/>
      <c r="G126" s="60"/>
      <c r="H126" s="60"/>
      <c r="I126" s="60"/>
      <c r="J126" s="60"/>
      <c r="K126" s="60"/>
      <c r="L126" s="60"/>
      <c r="M126" s="60"/>
      <c r="N126" s="60"/>
    </row>
    <row r="127" spans="6:14" ht="15.75" x14ac:dyDescent="0.25">
      <c r="F127" s="59"/>
      <c r="G127" s="60"/>
      <c r="H127" s="60"/>
      <c r="I127" s="60"/>
      <c r="J127" s="60"/>
      <c r="K127" s="60"/>
      <c r="L127" s="60"/>
      <c r="M127" s="60"/>
      <c r="N127" s="60"/>
    </row>
    <row r="128" spans="6:14" ht="15.75" x14ac:dyDescent="0.25">
      <c r="F128" s="59"/>
      <c r="G128" s="60"/>
      <c r="H128" s="60"/>
      <c r="I128" s="60"/>
      <c r="J128" s="60"/>
      <c r="K128" s="60"/>
      <c r="L128" s="60"/>
      <c r="M128" s="60"/>
      <c r="N128" s="60"/>
    </row>
    <row r="129" spans="6:14" ht="15.75" x14ac:dyDescent="0.25">
      <c r="F129" s="59"/>
      <c r="G129" s="60"/>
      <c r="H129" s="60"/>
      <c r="I129" s="60"/>
      <c r="J129" s="60"/>
      <c r="K129" s="60"/>
      <c r="L129" s="60"/>
      <c r="M129" s="60"/>
      <c r="N129" s="60"/>
    </row>
    <row r="130" spans="6:14" ht="15.75" x14ac:dyDescent="0.25">
      <c r="F130" s="59"/>
      <c r="G130" s="60"/>
      <c r="H130" s="60"/>
      <c r="I130" s="60"/>
      <c r="J130" s="60"/>
      <c r="K130" s="60"/>
      <c r="L130" s="60"/>
      <c r="M130" s="60"/>
      <c r="N130" s="60"/>
    </row>
    <row r="131" spans="6:14" ht="15.75" x14ac:dyDescent="0.25">
      <c r="F131" s="59"/>
      <c r="G131" s="60"/>
      <c r="H131" s="60"/>
      <c r="I131" s="60"/>
      <c r="J131" s="60"/>
      <c r="K131" s="60"/>
      <c r="L131" s="60"/>
      <c r="M131" s="60"/>
      <c r="N131" s="60"/>
    </row>
    <row r="132" spans="6:14" ht="15.75" x14ac:dyDescent="0.25">
      <c r="F132" s="59"/>
      <c r="G132" s="60"/>
      <c r="H132" s="60"/>
      <c r="I132" s="60"/>
      <c r="J132" s="60"/>
      <c r="K132" s="60"/>
      <c r="L132" s="60"/>
      <c r="M132" s="60"/>
      <c r="N132" s="60"/>
    </row>
    <row r="133" spans="6:14" ht="15.75" x14ac:dyDescent="0.25">
      <c r="F133" s="59"/>
      <c r="G133" s="60"/>
      <c r="H133" s="60"/>
      <c r="I133" s="60"/>
      <c r="J133" s="60"/>
      <c r="K133" s="60"/>
      <c r="L133" s="60"/>
      <c r="M133" s="60"/>
      <c r="N133" s="60"/>
    </row>
    <row r="134" spans="6:14" ht="15.75" x14ac:dyDescent="0.25">
      <c r="F134" s="59"/>
      <c r="G134" s="60"/>
      <c r="H134" s="60"/>
      <c r="I134" s="60"/>
      <c r="J134" s="60"/>
      <c r="K134" s="60"/>
      <c r="L134" s="60"/>
      <c r="M134" s="60"/>
      <c r="N134" s="60"/>
    </row>
    <row r="135" spans="6:14" ht="15.75" x14ac:dyDescent="0.25">
      <c r="F135" s="59"/>
      <c r="G135" s="60"/>
      <c r="H135" s="60"/>
      <c r="I135" s="60"/>
      <c r="J135" s="60"/>
      <c r="K135" s="60"/>
      <c r="L135" s="60"/>
      <c r="M135" s="60"/>
      <c r="N135" s="60"/>
    </row>
    <row r="136" spans="6:14" ht="15.75" x14ac:dyDescent="0.25">
      <c r="F136" s="59"/>
      <c r="G136" s="60"/>
      <c r="H136" s="60"/>
      <c r="I136" s="60"/>
      <c r="J136" s="60"/>
      <c r="K136" s="60"/>
      <c r="L136" s="60"/>
      <c r="M136" s="60"/>
      <c r="N136" s="60"/>
    </row>
    <row r="137" spans="6:14" ht="15.75" x14ac:dyDescent="0.25">
      <c r="F137" s="59"/>
      <c r="G137" s="60"/>
      <c r="H137" s="60"/>
      <c r="I137" s="60"/>
      <c r="J137" s="60"/>
      <c r="K137" s="60"/>
      <c r="L137" s="60"/>
      <c r="M137" s="60"/>
      <c r="N137" s="60"/>
    </row>
    <row r="138" spans="6:14" ht="15.75" x14ac:dyDescent="0.25">
      <c r="F138" s="59"/>
      <c r="G138" s="60"/>
      <c r="H138" s="60"/>
      <c r="I138" s="60"/>
      <c r="J138" s="60"/>
      <c r="K138" s="60"/>
      <c r="L138" s="60"/>
      <c r="M138" s="60"/>
      <c r="N138" s="60"/>
    </row>
    <row r="139" spans="6:14" ht="15.75" x14ac:dyDescent="0.25">
      <c r="F139" s="59"/>
      <c r="G139" s="60"/>
      <c r="H139" s="60"/>
      <c r="I139" s="60"/>
      <c r="J139" s="60"/>
      <c r="K139" s="60"/>
      <c r="L139" s="60"/>
      <c r="M139" s="60"/>
      <c r="N139" s="60"/>
    </row>
    <row r="140" spans="6:14" ht="15.75" x14ac:dyDescent="0.25">
      <c r="F140" s="59"/>
      <c r="G140" s="60"/>
      <c r="H140" s="60"/>
      <c r="I140" s="60"/>
      <c r="J140" s="60"/>
      <c r="K140" s="60"/>
      <c r="L140" s="60"/>
      <c r="M140" s="60"/>
      <c r="N140" s="60"/>
    </row>
    <row r="141" spans="6:14" ht="15.75" x14ac:dyDescent="0.25">
      <c r="F141" s="59"/>
      <c r="G141" s="60"/>
      <c r="H141" s="60"/>
      <c r="I141" s="60"/>
      <c r="J141" s="60"/>
      <c r="K141" s="60"/>
      <c r="L141" s="60"/>
      <c r="M141" s="60"/>
      <c r="N141" s="60"/>
    </row>
    <row r="142" spans="6:14" ht="15.75" x14ac:dyDescent="0.25">
      <c r="F142" s="59"/>
      <c r="G142" s="60"/>
      <c r="H142" s="60"/>
      <c r="I142" s="60"/>
      <c r="J142" s="60"/>
      <c r="K142" s="60"/>
      <c r="L142" s="60"/>
      <c r="M142" s="60"/>
      <c r="N142" s="60"/>
    </row>
    <row r="143" spans="6:14" ht="15.75" x14ac:dyDescent="0.25">
      <c r="F143" s="59"/>
      <c r="G143" s="60"/>
      <c r="H143" s="60"/>
      <c r="I143" s="60"/>
      <c r="J143" s="60"/>
      <c r="K143" s="60"/>
      <c r="L143" s="60"/>
      <c r="M143" s="60"/>
      <c r="N143" s="60"/>
    </row>
    <row r="144" spans="6:14" ht="15.75" x14ac:dyDescent="0.25">
      <c r="F144" s="59"/>
      <c r="G144" s="60"/>
      <c r="H144" s="60"/>
      <c r="I144" s="60"/>
      <c r="J144" s="60"/>
      <c r="K144" s="60"/>
      <c r="L144" s="60"/>
      <c r="M144" s="60"/>
      <c r="N144" s="60"/>
    </row>
    <row r="145" spans="6:14" ht="15.75" x14ac:dyDescent="0.25">
      <c r="F145" s="59"/>
      <c r="G145" s="60"/>
      <c r="H145" s="60"/>
      <c r="I145" s="60"/>
      <c r="J145" s="60"/>
      <c r="K145" s="60"/>
      <c r="L145" s="60"/>
      <c r="M145" s="60"/>
      <c r="N145" s="60"/>
    </row>
    <row r="146" spans="6:14" ht="15.75" x14ac:dyDescent="0.25">
      <c r="F146" s="59"/>
      <c r="G146" s="60"/>
      <c r="H146" s="60"/>
      <c r="I146" s="60"/>
      <c r="J146" s="60"/>
      <c r="K146" s="60"/>
      <c r="L146" s="60"/>
      <c r="M146" s="60"/>
      <c r="N146" s="60"/>
    </row>
    <row r="147" spans="6:14" ht="15.75" x14ac:dyDescent="0.25">
      <c r="F147" s="59"/>
      <c r="G147" s="60"/>
      <c r="H147" s="60"/>
      <c r="I147" s="60"/>
      <c r="J147" s="60"/>
      <c r="K147" s="60"/>
      <c r="L147" s="60"/>
      <c r="M147" s="60"/>
      <c r="N147" s="60"/>
    </row>
    <row r="148" spans="6:14" ht="15.75" x14ac:dyDescent="0.25">
      <c r="F148" s="59"/>
      <c r="G148" s="60"/>
      <c r="H148" s="60"/>
      <c r="I148" s="60"/>
      <c r="J148" s="60"/>
      <c r="K148" s="60"/>
      <c r="L148" s="60"/>
      <c r="M148" s="60"/>
      <c r="N148" s="60"/>
    </row>
    <row r="149" spans="6:14" ht="15.75" x14ac:dyDescent="0.25">
      <c r="F149" s="59"/>
      <c r="G149" s="60"/>
      <c r="H149" s="60"/>
      <c r="I149" s="60"/>
      <c r="J149" s="60"/>
      <c r="K149" s="60"/>
      <c r="L149" s="60"/>
      <c r="M149" s="60"/>
      <c r="N149" s="60"/>
    </row>
    <row r="150" spans="6:14" ht="15.75" x14ac:dyDescent="0.25">
      <c r="F150" s="59"/>
      <c r="G150" s="60"/>
      <c r="H150" s="60"/>
      <c r="I150" s="60"/>
      <c r="J150" s="60"/>
      <c r="K150" s="60"/>
      <c r="L150" s="60"/>
      <c r="M150" s="60"/>
      <c r="N150" s="60"/>
    </row>
    <row r="151" spans="6:14" ht="15.75" x14ac:dyDescent="0.25">
      <c r="F151" s="59"/>
      <c r="G151" s="60"/>
      <c r="H151" s="60"/>
      <c r="I151" s="60"/>
      <c r="J151" s="60"/>
      <c r="K151" s="60"/>
      <c r="L151" s="60"/>
      <c r="M151" s="60"/>
      <c r="N151" s="60"/>
    </row>
    <row r="152" spans="6:14" ht="15.75" x14ac:dyDescent="0.25">
      <c r="F152" s="59"/>
      <c r="G152" s="60"/>
      <c r="H152" s="60"/>
      <c r="I152" s="60"/>
      <c r="J152" s="60"/>
      <c r="K152" s="60"/>
      <c r="L152" s="60"/>
      <c r="M152" s="60"/>
      <c r="N152" s="60"/>
    </row>
    <row r="153" spans="6:14" ht="15.75" x14ac:dyDescent="0.25">
      <c r="F153" s="59"/>
      <c r="G153" s="60"/>
      <c r="H153" s="60"/>
      <c r="I153" s="60"/>
      <c r="J153" s="60"/>
      <c r="K153" s="60"/>
      <c r="L153" s="60"/>
      <c r="M153" s="60"/>
      <c r="N153" s="60"/>
    </row>
    <row r="154" spans="6:14" ht="15.75" x14ac:dyDescent="0.25">
      <c r="F154" s="59"/>
      <c r="G154" s="60"/>
      <c r="H154" s="60"/>
      <c r="I154" s="60"/>
      <c r="J154" s="60"/>
      <c r="K154" s="60"/>
      <c r="L154" s="60"/>
      <c r="M154" s="60"/>
      <c r="N154" s="60"/>
    </row>
    <row r="155" spans="6:14" ht="15.75" x14ac:dyDescent="0.25">
      <c r="F155" s="59"/>
      <c r="G155" s="60"/>
      <c r="H155" s="60"/>
      <c r="I155" s="60"/>
      <c r="J155" s="60"/>
      <c r="K155" s="60"/>
      <c r="L155" s="60"/>
      <c r="M155" s="60"/>
      <c r="N155" s="60"/>
    </row>
    <row r="156" spans="6:14" ht="15.75" x14ac:dyDescent="0.25">
      <c r="F156" s="59"/>
      <c r="G156" s="60"/>
      <c r="H156" s="60"/>
      <c r="I156" s="60"/>
      <c r="J156" s="60"/>
      <c r="K156" s="60"/>
      <c r="L156" s="60"/>
      <c r="M156" s="60"/>
      <c r="N156" s="60"/>
    </row>
    <row r="157" spans="6:14" ht="15.75" x14ac:dyDescent="0.25">
      <c r="F157" s="59"/>
      <c r="G157" s="60"/>
      <c r="H157" s="60"/>
      <c r="I157" s="60"/>
      <c r="J157" s="60"/>
      <c r="K157" s="60"/>
      <c r="L157" s="60"/>
      <c r="M157" s="60"/>
      <c r="N157" s="60"/>
    </row>
    <row r="158" spans="6:14" ht="15.75" x14ac:dyDescent="0.25">
      <c r="F158" s="59"/>
      <c r="G158" s="60"/>
      <c r="H158" s="60"/>
      <c r="I158" s="60"/>
      <c r="J158" s="60"/>
      <c r="K158" s="60"/>
      <c r="L158" s="60"/>
      <c r="M158" s="60"/>
      <c r="N158" s="60"/>
    </row>
    <row r="159" spans="6:14" ht="15.75" x14ac:dyDescent="0.25">
      <c r="F159" s="59"/>
      <c r="G159" s="60"/>
      <c r="H159" s="60"/>
      <c r="I159" s="60"/>
      <c r="J159" s="60"/>
      <c r="K159" s="60"/>
      <c r="L159" s="60"/>
      <c r="M159" s="60"/>
      <c r="N159" s="60"/>
    </row>
    <row r="160" spans="6:14" ht="15.75" x14ac:dyDescent="0.25">
      <c r="F160" s="59"/>
      <c r="G160" s="60"/>
      <c r="H160" s="60"/>
      <c r="I160" s="60"/>
      <c r="J160" s="60"/>
      <c r="K160" s="60"/>
      <c r="L160" s="60"/>
      <c r="M160" s="60"/>
      <c r="N160" s="60"/>
    </row>
    <row r="161" spans="6:14" ht="15.75" x14ac:dyDescent="0.25">
      <c r="F161" s="59"/>
      <c r="G161" s="60"/>
      <c r="H161" s="60"/>
      <c r="I161" s="60"/>
      <c r="J161" s="60"/>
      <c r="K161" s="60"/>
      <c r="L161" s="60"/>
      <c r="M161" s="60"/>
      <c r="N161" s="60"/>
    </row>
    <row r="162" spans="6:14" ht="15.75" x14ac:dyDescent="0.25">
      <c r="F162" s="59"/>
      <c r="G162" s="60"/>
      <c r="H162" s="60"/>
      <c r="I162" s="60"/>
      <c r="J162" s="60"/>
      <c r="K162" s="60"/>
      <c r="L162" s="60"/>
      <c r="M162" s="60"/>
      <c r="N162" s="60"/>
    </row>
    <row r="163" spans="6:14" ht="15.75" x14ac:dyDescent="0.25">
      <c r="F163" s="59"/>
      <c r="G163" s="60"/>
      <c r="H163" s="60"/>
      <c r="I163" s="60"/>
      <c r="J163" s="60"/>
      <c r="K163" s="60"/>
      <c r="L163" s="60"/>
      <c r="M163" s="60"/>
      <c r="N163" s="60"/>
    </row>
    <row r="164" spans="6:14" ht="15.75" x14ac:dyDescent="0.25">
      <c r="F164" s="59"/>
      <c r="G164" s="60"/>
      <c r="H164" s="60"/>
      <c r="I164" s="60"/>
      <c r="J164" s="60"/>
      <c r="K164" s="60"/>
      <c r="L164" s="60"/>
      <c r="M164" s="60"/>
      <c r="N164" s="60"/>
    </row>
    <row r="165" spans="6:14" ht="15.75" x14ac:dyDescent="0.25">
      <c r="F165" s="59"/>
      <c r="G165" s="60"/>
      <c r="H165" s="60"/>
      <c r="I165" s="60"/>
      <c r="J165" s="60"/>
      <c r="K165" s="60"/>
      <c r="L165" s="60"/>
      <c r="M165" s="60"/>
      <c r="N165" s="60"/>
    </row>
    <row r="166" spans="6:14" ht="15.75" x14ac:dyDescent="0.25">
      <c r="F166" s="59"/>
      <c r="G166" s="60"/>
      <c r="H166" s="60"/>
      <c r="I166" s="60"/>
      <c r="J166" s="60"/>
      <c r="K166" s="60"/>
      <c r="L166" s="60"/>
      <c r="M166" s="60"/>
      <c r="N166" s="60"/>
    </row>
    <row r="167" spans="6:14" ht="15.75" x14ac:dyDescent="0.25">
      <c r="F167" s="59"/>
      <c r="G167" s="60"/>
      <c r="H167" s="60"/>
      <c r="I167" s="60"/>
      <c r="J167" s="60"/>
      <c r="K167" s="60"/>
      <c r="L167" s="60"/>
      <c r="M167" s="60"/>
      <c r="N167" s="60"/>
    </row>
    <row r="168" spans="6:14" ht="15.75" x14ac:dyDescent="0.25">
      <c r="F168" s="59"/>
      <c r="G168" s="60"/>
      <c r="H168" s="60"/>
      <c r="I168" s="60"/>
      <c r="J168" s="60"/>
      <c r="K168" s="60"/>
      <c r="L168" s="60"/>
      <c r="M168" s="60"/>
      <c r="N168" s="60"/>
    </row>
    <row r="169" spans="6:14" ht="15.75" x14ac:dyDescent="0.25">
      <c r="F169" s="59"/>
      <c r="G169" s="60"/>
      <c r="H169" s="60"/>
      <c r="I169" s="60"/>
      <c r="J169" s="60"/>
      <c r="K169" s="60"/>
      <c r="L169" s="60"/>
      <c r="M169" s="60"/>
      <c r="N169" s="60"/>
    </row>
    <row r="170" spans="6:14" ht="15.75" x14ac:dyDescent="0.25">
      <c r="F170" s="59"/>
      <c r="G170" s="60"/>
      <c r="H170" s="60"/>
      <c r="I170" s="60"/>
      <c r="J170" s="60"/>
      <c r="K170" s="60"/>
      <c r="L170" s="60"/>
      <c r="M170" s="60"/>
      <c r="N170" s="60"/>
    </row>
    <row r="171" spans="6:14" ht="15.75" x14ac:dyDescent="0.25">
      <c r="F171" s="59"/>
      <c r="G171" s="60"/>
      <c r="H171" s="60"/>
      <c r="I171" s="60"/>
      <c r="J171" s="60"/>
      <c r="K171" s="60"/>
      <c r="L171" s="60"/>
      <c r="M171" s="60"/>
      <c r="N171" s="60"/>
    </row>
    <row r="172" spans="6:14" ht="15.75" x14ac:dyDescent="0.25">
      <c r="F172" s="59"/>
      <c r="G172" s="60"/>
      <c r="H172" s="60"/>
      <c r="I172" s="60"/>
      <c r="J172" s="60"/>
      <c r="K172" s="60"/>
      <c r="L172" s="60"/>
      <c r="M172" s="60"/>
      <c r="N172" s="60"/>
    </row>
    <row r="173" spans="6:14" ht="15.75" x14ac:dyDescent="0.25">
      <c r="F173" s="59"/>
      <c r="G173" s="60"/>
      <c r="H173" s="60"/>
      <c r="I173" s="60"/>
      <c r="J173" s="60"/>
      <c r="K173" s="60"/>
      <c r="L173" s="60"/>
      <c r="M173" s="60"/>
      <c r="N173" s="60"/>
    </row>
    <row r="174" spans="6:14" ht="15.75" x14ac:dyDescent="0.25">
      <c r="F174" s="59"/>
      <c r="G174" s="60"/>
      <c r="H174" s="60"/>
      <c r="I174" s="60"/>
      <c r="J174" s="60"/>
      <c r="K174" s="60"/>
      <c r="L174" s="60"/>
      <c r="M174" s="60"/>
      <c r="N174" s="60"/>
    </row>
    <row r="175" spans="6:14" ht="15.75" x14ac:dyDescent="0.25">
      <c r="F175" s="59"/>
      <c r="G175" s="60"/>
      <c r="H175" s="60"/>
      <c r="I175" s="60"/>
      <c r="J175" s="60"/>
      <c r="K175" s="60"/>
      <c r="L175" s="60"/>
      <c r="M175" s="60"/>
      <c r="N175" s="60"/>
    </row>
    <row r="176" spans="6:14" ht="15.75" x14ac:dyDescent="0.25">
      <c r="F176" s="59"/>
      <c r="G176" s="60"/>
      <c r="H176" s="60"/>
      <c r="I176" s="60"/>
      <c r="J176" s="60"/>
      <c r="K176" s="60"/>
      <c r="L176" s="60"/>
      <c r="M176" s="60"/>
      <c r="N176" s="60"/>
    </row>
    <row r="177" spans="6:14" ht="15.75" x14ac:dyDescent="0.25">
      <c r="F177" s="59"/>
      <c r="G177" s="60"/>
      <c r="H177" s="60"/>
      <c r="I177" s="60"/>
      <c r="J177" s="60"/>
      <c r="K177" s="60"/>
      <c r="L177" s="60"/>
      <c r="M177" s="60"/>
      <c r="N177" s="60"/>
    </row>
    <row r="178" spans="6:14" ht="15.75" x14ac:dyDescent="0.25">
      <c r="F178" s="59"/>
      <c r="G178" s="60"/>
      <c r="H178" s="60"/>
      <c r="I178" s="60"/>
      <c r="J178" s="60"/>
      <c r="K178" s="60"/>
      <c r="L178" s="60"/>
      <c r="M178" s="60"/>
      <c r="N178" s="60"/>
    </row>
    <row r="179" spans="6:14" ht="15.75" x14ac:dyDescent="0.25">
      <c r="F179" s="59"/>
      <c r="G179" s="60"/>
      <c r="H179" s="60"/>
      <c r="I179" s="60"/>
      <c r="J179" s="60"/>
      <c r="K179" s="60"/>
      <c r="L179" s="60"/>
      <c r="M179" s="60"/>
      <c r="N179" s="60"/>
    </row>
    <row r="180" spans="6:14" ht="15.75" x14ac:dyDescent="0.25">
      <c r="F180" s="59"/>
      <c r="G180" s="60"/>
      <c r="H180" s="60"/>
      <c r="I180" s="60"/>
      <c r="J180" s="60"/>
      <c r="K180" s="60"/>
      <c r="L180" s="60"/>
      <c r="M180" s="60"/>
      <c r="N180" s="60"/>
    </row>
    <row r="181" spans="6:14" ht="15.75" x14ac:dyDescent="0.25">
      <c r="F181" s="59"/>
      <c r="G181" s="60"/>
      <c r="H181" s="60"/>
      <c r="I181" s="60"/>
      <c r="J181" s="60"/>
      <c r="K181" s="60"/>
      <c r="L181" s="60"/>
      <c r="M181" s="60"/>
      <c r="N181" s="60"/>
    </row>
    <row r="182" spans="6:14" ht="15.75" x14ac:dyDescent="0.25">
      <c r="F182" s="59"/>
      <c r="G182" s="60"/>
      <c r="H182" s="60"/>
      <c r="I182" s="60"/>
      <c r="J182" s="60"/>
      <c r="K182" s="60"/>
      <c r="L182" s="60"/>
      <c r="M182" s="60"/>
      <c r="N182" s="60"/>
    </row>
    <row r="183" spans="6:14" ht="15.75" x14ac:dyDescent="0.25">
      <c r="F183" s="59"/>
      <c r="G183" s="60"/>
      <c r="H183" s="60"/>
      <c r="I183" s="60"/>
      <c r="J183" s="60"/>
      <c r="K183" s="60"/>
      <c r="L183" s="60"/>
      <c r="M183" s="60"/>
      <c r="N183" s="60"/>
    </row>
    <row r="184" spans="6:14" ht="15.75" x14ac:dyDescent="0.25">
      <c r="F184" s="59"/>
      <c r="G184" s="60"/>
      <c r="H184" s="60"/>
      <c r="I184" s="60"/>
      <c r="J184" s="60"/>
      <c r="K184" s="60"/>
      <c r="L184" s="60"/>
      <c r="M184" s="60"/>
      <c r="N184" s="60"/>
    </row>
    <row r="185" spans="6:14" ht="15.75" x14ac:dyDescent="0.25">
      <c r="F185" s="59"/>
      <c r="G185" s="60"/>
      <c r="H185" s="60"/>
      <c r="I185" s="60"/>
      <c r="J185" s="60"/>
      <c r="K185" s="60"/>
      <c r="L185" s="60"/>
      <c r="M185" s="60"/>
      <c r="N185" s="60"/>
    </row>
    <row r="186" spans="6:14" ht="15.75" x14ac:dyDescent="0.25">
      <c r="F186" s="59"/>
      <c r="G186" s="60"/>
      <c r="H186" s="60"/>
      <c r="I186" s="60"/>
      <c r="J186" s="60"/>
      <c r="K186" s="60"/>
      <c r="L186" s="60"/>
      <c r="M186" s="60"/>
      <c r="N186" s="60"/>
    </row>
    <row r="187" spans="6:14" ht="15.75" x14ac:dyDescent="0.25">
      <c r="F187" s="59"/>
      <c r="G187" s="60"/>
      <c r="H187" s="60"/>
      <c r="I187" s="60"/>
      <c r="J187" s="60"/>
      <c r="K187" s="60"/>
      <c r="L187" s="60"/>
      <c r="M187" s="60"/>
      <c r="N187" s="60"/>
    </row>
    <row r="188" spans="6:14" ht="15.75" x14ac:dyDescent="0.25">
      <c r="F188" s="59"/>
      <c r="G188" s="60"/>
      <c r="H188" s="60"/>
      <c r="I188" s="60"/>
      <c r="J188" s="60"/>
      <c r="K188" s="60"/>
      <c r="L188" s="60"/>
      <c r="M188" s="60"/>
      <c r="N188" s="60"/>
    </row>
    <row r="189" spans="6:14" ht="15.75" x14ac:dyDescent="0.25">
      <c r="F189" s="59"/>
      <c r="G189" s="60"/>
      <c r="H189" s="60"/>
      <c r="I189" s="60"/>
      <c r="J189" s="60"/>
      <c r="K189" s="60"/>
      <c r="L189" s="60"/>
      <c r="M189" s="60"/>
      <c r="N189" s="60"/>
    </row>
    <row r="190" spans="6:14" ht="15.75" x14ac:dyDescent="0.25">
      <c r="F190" s="59"/>
      <c r="G190" s="60"/>
      <c r="H190" s="60"/>
      <c r="I190" s="60"/>
      <c r="J190" s="60"/>
      <c r="K190" s="60"/>
      <c r="L190" s="60"/>
      <c r="M190" s="60"/>
      <c r="N190" s="60"/>
    </row>
    <row r="191" spans="6:14" ht="15.75" x14ac:dyDescent="0.25">
      <c r="F191" s="59"/>
      <c r="G191" s="60"/>
      <c r="H191" s="60"/>
      <c r="I191" s="60"/>
      <c r="J191" s="60"/>
      <c r="K191" s="60"/>
      <c r="L191" s="60"/>
      <c r="M191" s="60"/>
      <c r="N191" s="60"/>
    </row>
    <row r="192" spans="6:14" ht="15.75" x14ac:dyDescent="0.25">
      <c r="F192" s="59"/>
      <c r="G192" s="60"/>
      <c r="H192" s="60"/>
      <c r="I192" s="60"/>
      <c r="J192" s="60"/>
      <c r="K192" s="60"/>
      <c r="L192" s="60"/>
      <c r="M192" s="60"/>
      <c r="N192" s="60"/>
    </row>
    <row r="193" spans="6:14" ht="15.75" x14ac:dyDescent="0.25">
      <c r="F193" s="59"/>
      <c r="G193" s="60"/>
      <c r="H193" s="60"/>
      <c r="I193" s="60"/>
      <c r="J193" s="60"/>
      <c r="K193" s="60"/>
      <c r="L193" s="60"/>
      <c r="M193" s="60"/>
      <c r="N193" s="60"/>
    </row>
    <row r="194" spans="6:14" ht="15.75" x14ac:dyDescent="0.25">
      <c r="F194" s="59"/>
      <c r="G194" s="60"/>
      <c r="H194" s="60"/>
      <c r="I194" s="60"/>
      <c r="J194" s="60"/>
      <c r="K194" s="60"/>
      <c r="L194" s="60"/>
      <c r="M194" s="60"/>
      <c r="N194" s="60"/>
    </row>
    <row r="195" spans="6:14" ht="15.75" x14ac:dyDescent="0.25">
      <c r="F195" s="59"/>
      <c r="G195" s="60"/>
      <c r="H195" s="60"/>
      <c r="I195" s="60"/>
      <c r="J195" s="60"/>
      <c r="K195" s="60"/>
      <c r="L195" s="60"/>
      <c r="M195" s="60"/>
      <c r="N195" s="60"/>
    </row>
    <row r="196" spans="6:14" ht="15.75" x14ac:dyDescent="0.25">
      <c r="F196" s="59"/>
      <c r="G196" s="60"/>
      <c r="H196" s="60"/>
      <c r="I196" s="60"/>
      <c r="J196" s="60"/>
      <c r="K196" s="60"/>
      <c r="L196" s="60"/>
      <c r="M196" s="60"/>
      <c r="N196" s="60"/>
    </row>
    <row r="197" spans="6:14" ht="15.75" x14ac:dyDescent="0.25">
      <c r="F197" s="59"/>
      <c r="G197" s="60"/>
      <c r="H197" s="60"/>
      <c r="I197" s="60"/>
      <c r="J197" s="60"/>
      <c r="K197" s="60"/>
      <c r="L197" s="60"/>
      <c r="M197" s="60"/>
      <c r="N197" s="60"/>
    </row>
    <row r="198" spans="6:14" ht="15.75" x14ac:dyDescent="0.25">
      <c r="F198" s="59"/>
      <c r="G198" s="60"/>
      <c r="H198" s="60"/>
      <c r="I198" s="60"/>
      <c r="J198" s="60"/>
      <c r="K198" s="60"/>
      <c r="L198" s="60"/>
      <c r="M198" s="60"/>
      <c r="N198" s="60"/>
    </row>
    <row r="199" spans="6:14" ht="15.75" x14ac:dyDescent="0.25">
      <c r="F199" s="59"/>
      <c r="G199" s="60"/>
      <c r="H199" s="60"/>
      <c r="I199" s="60"/>
      <c r="J199" s="60"/>
      <c r="K199" s="60"/>
      <c r="L199" s="60"/>
      <c r="M199" s="60"/>
      <c r="N199" s="60"/>
    </row>
    <row r="200" spans="6:14" ht="15.75" x14ac:dyDescent="0.25">
      <c r="F200" s="59"/>
      <c r="G200" s="60"/>
      <c r="H200" s="60"/>
      <c r="I200" s="60"/>
      <c r="J200" s="60"/>
      <c r="K200" s="60"/>
      <c r="L200" s="60"/>
      <c r="M200" s="60"/>
      <c r="N200" s="60"/>
    </row>
    <row r="201" spans="6:14" ht="15.75" x14ac:dyDescent="0.25">
      <c r="F201" s="59"/>
      <c r="G201" s="60"/>
      <c r="H201" s="60"/>
      <c r="I201" s="60"/>
      <c r="J201" s="60"/>
      <c r="K201" s="60"/>
      <c r="L201" s="60"/>
      <c r="M201" s="60"/>
      <c r="N201" s="60"/>
    </row>
    <row r="202" spans="6:14" ht="15.75" x14ac:dyDescent="0.25">
      <c r="F202" s="59"/>
      <c r="G202" s="60"/>
      <c r="H202" s="60"/>
      <c r="I202" s="60"/>
      <c r="J202" s="60"/>
      <c r="K202" s="60"/>
      <c r="L202" s="60"/>
      <c r="M202" s="60"/>
      <c r="N202" s="60"/>
    </row>
    <row r="203" spans="6:14" ht="15.75" x14ac:dyDescent="0.25">
      <c r="F203" s="59"/>
      <c r="G203" s="60"/>
      <c r="H203" s="60"/>
      <c r="I203" s="60"/>
      <c r="J203" s="60"/>
      <c r="K203" s="60"/>
      <c r="L203" s="60"/>
      <c r="M203" s="60"/>
      <c r="N203" s="60"/>
    </row>
    <row r="204" spans="6:14" ht="15.75" x14ac:dyDescent="0.25">
      <c r="F204" s="59"/>
      <c r="G204" s="60"/>
      <c r="H204" s="60"/>
      <c r="I204" s="60"/>
      <c r="J204" s="60"/>
      <c r="K204" s="60"/>
      <c r="L204" s="60"/>
      <c r="M204" s="60"/>
      <c r="N204" s="60"/>
    </row>
    <row r="205" spans="6:14" ht="15.75" x14ac:dyDescent="0.25">
      <c r="F205" s="59"/>
      <c r="G205" s="60"/>
      <c r="H205" s="60"/>
      <c r="I205" s="60"/>
      <c r="J205" s="60"/>
      <c r="K205" s="60"/>
      <c r="L205" s="60"/>
      <c r="M205" s="60"/>
      <c r="N205" s="60"/>
    </row>
    <row r="206" spans="6:14" ht="15.75" x14ac:dyDescent="0.25">
      <c r="F206" s="59"/>
      <c r="G206" s="60"/>
      <c r="H206" s="60"/>
      <c r="I206" s="60"/>
      <c r="J206" s="60"/>
      <c r="K206" s="60"/>
      <c r="L206" s="60"/>
      <c r="M206" s="60"/>
      <c r="N206" s="60"/>
    </row>
    <row r="207" spans="6:14" ht="15.75" x14ac:dyDescent="0.25">
      <c r="F207" s="59"/>
      <c r="G207" s="60"/>
      <c r="H207" s="60"/>
      <c r="I207" s="60"/>
      <c r="J207" s="60"/>
      <c r="K207" s="60"/>
      <c r="L207" s="60"/>
      <c r="M207" s="60"/>
      <c r="N207" s="60"/>
    </row>
    <row r="208" spans="6:14" ht="15.75" x14ac:dyDescent="0.25">
      <c r="F208" s="59"/>
      <c r="G208" s="60"/>
      <c r="H208" s="60"/>
      <c r="I208" s="60"/>
      <c r="J208" s="60"/>
      <c r="K208" s="60"/>
      <c r="L208" s="60"/>
      <c r="M208" s="60"/>
      <c r="N208" s="60"/>
    </row>
    <row r="209" spans="6:14" ht="15.75" x14ac:dyDescent="0.25">
      <c r="F209" s="59"/>
      <c r="G209" s="60"/>
      <c r="H209" s="60"/>
      <c r="I209" s="60"/>
      <c r="J209" s="60"/>
      <c r="K209" s="60"/>
      <c r="L209" s="60"/>
      <c r="M209" s="60"/>
      <c r="N209" s="60"/>
    </row>
    <row r="210" spans="6:14" ht="15.75" x14ac:dyDescent="0.25">
      <c r="F210" s="59"/>
      <c r="G210" s="60"/>
      <c r="H210" s="60"/>
      <c r="I210" s="60"/>
      <c r="J210" s="60"/>
      <c r="K210" s="60"/>
      <c r="L210" s="60"/>
      <c r="M210" s="60"/>
      <c r="N210" s="60"/>
    </row>
    <row r="211" spans="6:14" ht="15.75" x14ac:dyDescent="0.25">
      <c r="F211" s="59"/>
      <c r="G211" s="60"/>
      <c r="H211" s="60"/>
      <c r="I211" s="60"/>
      <c r="J211" s="60"/>
      <c r="K211" s="60"/>
      <c r="L211" s="60"/>
      <c r="M211" s="60"/>
      <c r="N211" s="60"/>
    </row>
    <row r="212" spans="6:14" ht="15.75" x14ac:dyDescent="0.25">
      <c r="F212" s="59"/>
      <c r="G212" s="60"/>
      <c r="H212" s="60"/>
      <c r="I212" s="60"/>
      <c r="J212" s="60"/>
      <c r="K212" s="60"/>
      <c r="L212" s="60"/>
      <c r="M212" s="60"/>
      <c r="N212" s="60"/>
    </row>
    <row r="213" spans="6:14" ht="15.75" x14ac:dyDescent="0.25">
      <c r="F213" s="59"/>
      <c r="G213" s="60"/>
      <c r="H213" s="60"/>
      <c r="I213" s="60"/>
      <c r="J213" s="60"/>
      <c r="K213" s="60"/>
      <c r="L213" s="60"/>
      <c r="M213" s="60"/>
      <c r="N213" s="60"/>
    </row>
    <row r="214" spans="6:14" ht="15.75" x14ac:dyDescent="0.25">
      <c r="F214" s="59"/>
      <c r="G214" s="60"/>
      <c r="H214" s="60"/>
      <c r="I214" s="60"/>
      <c r="J214" s="60"/>
      <c r="K214" s="60"/>
      <c r="L214" s="60"/>
      <c r="M214" s="60"/>
      <c r="N214" s="60"/>
    </row>
    <row r="215" spans="6:14" ht="15.75" x14ac:dyDescent="0.25">
      <c r="F215" s="59"/>
      <c r="G215" s="60"/>
      <c r="H215" s="60"/>
      <c r="I215" s="60"/>
      <c r="J215" s="60"/>
      <c r="K215" s="60"/>
      <c r="L215" s="60"/>
      <c r="M215" s="60"/>
      <c r="N215" s="60"/>
    </row>
    <row r="216" spans="6:14" ht="15.75" x14ac:dyDescent="0.25">
      <c r="F216" s="59"/>
      <c r="G216" s="60"/>
      <c r="H216" s="60"/>
      <c r="I216" s="60"/>
      <c r="J216" s="60"/>
      <c r="K216" s="60"/>
      <c r="L216" s="60"/>
      <c r="M216" s="60"/>
      <c r="N216" s="60"/>
    </row>
    <row r="217" spans="6:14" ht="15.75" x14ac:dyDescent="0.25">
      <c r="F217" s="59"/>
      <c r="G217" s="60"/>
      <c r="H217" s="60"/>
      <c r="I217" s="60"/>
      <c r="J217" s="60"/>
      <c r="K217" s="60"/>
      <c r="L217" s="60"/>
      <c r="M217" s="60"/>
      <c r="N217" s="60"/>
    </row>
    <row r="218" spans="6:14" ht="15.75" x14ac:dyDescent="0.25">
      <c r="F218" s="59"/>
      <c r="G218" s="60"/>
      <c r="H218" s="60"/>
      <c r="I218" s="60"/>
      <c r="J218" s="60"/>
      <c r="K218" s="60"/>
      <c r="L218" s="60"/>
      <c r="M218" s="60"/>
      <c r="N218" s="60"/>
    </row>
    <row r="219" spans="6:14" ht="15.75" x14ac:dyDescent="0.25">
      <c r="F219" s="59"/>
      <c r="G219" s="60"/>
      <c r="H219" s="60"/>
      <c r="I219" s="60"/>
      <c r="J219" s="60"/>
      <c r="K219" s="60"/>
      <c r="L219" s="60"/>
      <c r="M219" s="60"/>
      <c r="N219" s="60"/>
    </row>
    <row r="220" spans="6:14" ht="15.75" x14ac:dyDescent="0.25">
      <c r="F220" s="59"/>
      <c r="G220" s="60"/>
      <c r="H220" s="60"/>
      <c r="I220" s="60"/>
      <c r="J220" s="60"/>
      <c r="K220" s="60"/>
      <c r="L220" s="60"/>
      <c r="M220" s="60"/>
      <c r="N220" s="60"/>
    </row>
    <row r="221" spans="6:14" ht="15.75" x14ac:dyDescent="0.25">
      <c r="F221" s="59"/>
      <c r="G221" s="60"/>
      <c r="H221" s="60"/>
      <c r="I221" s="60"/>
      <c r="J221" s="60"/>
      <c r="K221" s="60"/>
      <c r="L221" s="60"/>
      <c r="M221" s="60"/>
      <c r="N221" s="60"/>
    </row>
    <row r="222" spans="6:14" ht="15.75" x14ac:dyDescent="0.25">
      <c r="F222" s="59"/>
      <c r="G222" s="60"/>
      <c r="H222" s="60"/>
      <c r="I222" s="60"/>
      <c r="J222" s="60"/>
      <c r="K222" s="60"/>
      <c r="L222" s="60"/>
      <c r="M222" s="60"/>
      <c r="N222" s="60"/>
    </row>
    <row r="223" spans="6:14" ht="15.75" x14ac:dyDescent="0.25">
      <c r="F223" s="59"/>
      <c r="G223" s="60"/>
      <c r="H223" s="60"/>
      <c r="I223" s="60"/>
      <c r="J223" s="60"/>
      <c r="K223" s="60"/>
      <c r="L223" s="60"/>
      <c r="M223" s="60"/>
      <c r="N223" s="60"/>
    </row>
    <row r="224" spans="6:14" ht="15.75" x14ac:dyDescent="0.25">
      <c r="F224" s="59"/>
      <c r="G224" s="60"/>
      <c r="H224" s="60"/>
      <c r="I224" s="60"/>
      <c r="J224" s="60"/>
      <c r="K224" s="60"/>
      <c r="L224" s="60"/>
      <c r="M224" s="60"/>
      <c r="N224" s="60"/>
    </row>
    <row r="225" spans="6:14" ht="15.75" x14ac:dyDescent="0.25">
      <c r="F225" s="59"/>
      <c r="G225" s="60"/>
      <c r="H225" s="60"/>
      <c r="I225" s="60"/>
      <c r="J225" s="60"/>
      <c r="K225" s="60"/>
      <c r="L225" s="60"/>
      <c r="M225" s="60"/>
      <c r="N225" s="60"/>
    </row>
    <row r="226" spans="6:14" ht="15.75" x14ac:dyDescent="0.25">
      <c r="F226" s="59"/>
      <c r="G226" s="60"/>
      <c r="H226" s="60"/>
      <c r="I226" s="60"/>
      <c r="J226" s="60"/>
      <c r="K226" s="60"/>
      <c r="L226" s="60"/>
      <c r="M226" s="60"/>
      <c r="N226" s="60"/>
    </row>
    <row r="227" spans="6:14" ht="15.75" x14ac:dyDescent="0.25">
      <c r="F227" s="59"/>
      <c r="G227" s="60"/>
      <c r="H227" s="60"/>
      <c r="I227" s="60"/>
      <c r="J227" s="60"/>
      <c r="K227" s="60"/>
      <c r="L227" s="60"/>
      <c r="M227" s="60"/>
      <c r="N227" s="60"/>
    </row>
    <row r="228" spans="6:14" ht="15.75" x14ac:dyDescent="0.25">
      <c r="F228" s="59"/>
      <c r="G228" s="60"/>
      <c r="H228" s="60"/>
      <c r="I228" s="60"/>
      <c r="J228" s="60"/>
      <c r="K228" s="60"/>
      <c r="L228" s="60"/>
      <c r="M228" s="60"/>
      <c r="N228" s="60"/>
    </row>
    <row r="229" spans="6:14" ht="15.75" x14ac:dyDescent="0.25">
      <c r="F229" s="59"/>
      <c r="G229" s="60"/>
      <c r="H229" s="60"/>
      <c r="I229" s="60"/>
      <c r="J229" s="60"/>
      <c r="K229" s="60"/>
      <c r="L229" s="60"/>
      <c r="M229" s="60"/>
      <c r="N229" s="60"/>
    </row>
    <row r="230" spans="6:14" ht="15.75" x14ac:dyDescent="0.25">
      <c r="F230" s="59"/>
      <c r="G230" s="60"/>
      <c r="H230" s="60"/>
      <c r="I230" s="60"/>
      <c r="J230" s="60"/>
      <c r="K230" s="60"/>
      <c r="L230" s="60"/>
      <c r="M230" s="60"/>
      <c r="N230" s="60"/>
    </row>
    <row r="231" spans="6:14" ht="15.75" x14ac:dyDescent="0.25">
      <c r="F231" s="59"/>
      <c r="G231" s="60"/>
      <c r="H231" s="60"/>
      <c r="I231" s="60"/>
      <c r="J231" s="60"/>
      <c r="K231" s="60"/>
      <c r="L231" s="60"/>
      <c r="M231" s="60"/>
      <c r="N231" s="60"/>
    </row>
    <row r="232" spans="6:14" ht="15.75" x14ac:dyDescent="0.25">
      <c r="F232" s="59"/>
      <c r="G232" s="60"/>
      <c r="H232" s="60"/>
      <c r="I232" s="60"/>
      <c r="J232" s="60"/>
      <c r="K232" s="60"/>
      <c r="L232" s="60"/>
      <c r="M232" s="60"/>
      <c r="N232" s="60"/>
    </row>
    <row r="233" spans="6:14" ht="15.75" x14ac:dyDescent="0.25">
      <c r="F233" s="59"/>
      <c r="G233" s="60"/>
      <c r="H233" s="60"/>
      <c r="I233" s="60"/>
      <c r="J233" s="60"/>
      <c r="K233" s="60"/>
      <c r="L233" s="60"/>
      <c r="M233" s="60"/>
      <c r="N233" s="60"/>
    </row>
    <row r="234" spans="6:14" ht="15.75" x14ac:dyDescent="0.25">
      <c r="F234" s="59"/>
      <c r="G234" s="60"/>
      <c r="H234" s="60"/>
      <c r="I234" s="60"/>
      <c r="J234" s="60"/>
      <c r="K234" s="60"/>
      <c r="L234" s="60"/>
      <c r="M234" s="60"/>
      <c r="N234" s="60"/>
    </row>
    <row r="235" spans="6:14" ht="15.75" x14ac:dyDescent="0.25">
      <c r="F235" s="59"/>
      <c r="G235" s="60"/>
      <c r="H235" s="60"/>
      <c r="I235" s="60"/>
      <c r="J235" s="60"/>
      <c r="K235" s="60"/>
      <c r="L235" s="60"/>
      <c r="M235" s="60"/>
      <c r="N235" s="60"/>
    </row>
    <row r="236" spans="6:14" ht="15.75" x14ac:dyDescent="0.25">
      <c r="F236" s="59"/>
      <c r="G236" s="60"/>
      <c r="H236" s="60"/>
      <c r="I236" s="60"/>
      <c r="J236" s="60"/>
      <c r="K236" s="60"/>
      <c r="L236" s="60"/>
      <c r="M236" s="60"/>
      <c r="N236" s="60"/>
    </row>
    <row r="237" spans="6:14" ht="15.75" x14ac:dyDescent="0.25">
      <c r="F237" s="59"/>
      <c r="G237" s="60"/>
      <c r="H237" s="60"/>
      <c r="I237" s="60"/>
      <c r="J237" s="60"/>
      <c r="K237" s="60"/>
      <c r="L237" s="60"/>
      <c r="M237" s="60"/>
      <c r="N237" s="60"/>
    </row>
    <row r="238" spans="6:14" ht="15.75" x14ac:dyDescent="0.25">
      <c r="F238" s="59"/>
      <c r="G238" s="60"/>
      <c r="H238" s="60"/>
      <c r="I238" s="60"/>
      <c r="J238" s="60"/>
      <c r="K238" s="60"/>
      <c r="L238" s="60"/>
      <c r="M238" s="60"/>
      <c r="N238" s="60"/>
    </row>
    <row r="239" spans="6:14" ht="15.75" x14ac:dyDescent="0.25">
      <c r="F239" s="59"/>
      <c r="G239" s="60"/>
      <c r="H239" s="60"/>
      <c r="I239" s="60"/>
      <c r="J239" s="60"/>
      <c r="K239" s="60"/>
      <c r="L239" s="60"/>
      <c r="M239" s="60"/>
      <c r="N239" s="60"/>
    </row>
    <row r="240" spans="6:14" ht="15.75" x14ac:dyDescent="0.25">
      <c r="F240" s="59"/>
      <c r="G240" s="60"/>
      <c r="H240" s="60"/>
      <c r="I240" s="60"/>
      <c r="J240" s="60"/>
      <c r="K240" s="60"/>
      <c r="L240" s="60"/>
      <c r="M240" s="60"/>
      <c r="N240" s="60"/>
    </row>
    <row r="241" spans="6:14" ht="15.75" x14ac:dyDescent="0.25">
      <c r="F241" s="59"/>
      <c r="G241" s="60"/>
      <c r="H241" s="60"/>
      <c r="I241" s="60"/>
      <c r="J241" s="60"/>
      <c r="K241" s="60"/>
      <c r="L241" s="60"/>
      <c r="M241" s="60"/>
      <c r="N241" s="60"/>
    </row>
    <row r="242" spans="6:14" ht="15.75" x14ac:dyDescent="0.25">
      <c r="F242" s="59"/>
      <c r="G242" s="60"/>
      <c r="H242" s="60"/>
      <c r="I242" s="60"/>
      <c r="J242" s="60"/>
      <c r="K242" s="60"/>
      <c r="L242" s="60"/>
      <c r="M242" s="60"/>
      <c r="N242" s="60"/>
    </row>
    <row r="243" spans="6:14" ht="15.75" x14ac:dyDescent="0.25">
      <c r="F243" s="59"/>
      <c r="G243" s="60"/>
      <c r="H243" s="60"/>
      <c r="I243" s="60"/>
      <c r="J243" s="60"/>
      <c r="K243" s="60"/>
      <c r="L243" s="60"/>
      <c r="M243" s="60"/>
      <c r="N243" s="60"/>
    </row>
    <row r="244" spans="6:14" ht="15.75" x14ac:dyDescent="0.25">
      <c r="F244" s="59"/>
      <c r="G244" s="60"/>
      <c r="H244" s="60"/>
      <c r="I244" s="60"/>
      <c r="J244" s="60"/>
      <c r="K244" s="60"/>
      <c r="L244" s="60"/>
      <c r="M244" s="60"/>
      <c r="N244" s="60"/>
    </row>
    <row r="245" spans="6:14" ht="15.75" x14ac:dyDescent="0.25">
      <c r="F245" s="59"/>
      <c r="G245" s="60"/>
      <c r="H245" s="60"/>
      <c r="I245" s="60"/>
      <c r="J245" s="60"/>
      <c r="K245" s="60"/>
      <c r="L245" s="60"/>
      <c r="M245" s="60"/>
      <c r="N245" s="60"/>
    </row>
    <row r="246" spans="6:14" ht="15.75" x14ac:dyDescent="0.25">
      <c r="F246" s="59"/>
      <c r="G246" s="60"/>
      <c r="H246" s="60"/>
      <c r="I246" s="60"/>
      <c r="J246" s="60"/>
      <c r="K246" s="60"/>
      <c r="L246" s="60"/>
      <c r="M246" s="60"/>
      <c r="N246" s="60"/>
    </row>
    <row r="247" spans="6:14" ht="15.75" x14ac:dyDescent="0.25">
      <c r="F247" s="59"/>
      <c r="G247" s="60"/>
      <c r="H247" s="60"/>
      <c r="I247" s="60"/>
      <c r="J247" s="60"/>
      <c r="K247" s="60"/>
      <c r="L247" s="60"/>
      <c r="M247" s="60"/>
      <c r="N247" s="60"/>
    </row>
    <row r="248" spans="6:14" ht="15.75" x14ac:dyDescent="0.25">
      <c r="F248" s="59"/>
      <c r="G248" s="60"/>
      <c r="H248" s="60"/>
      <c r="I248" s="60"/>
      <c r="J248" s="60"/>
      <c r="K248" s="60"/>
      <c r="L248" s="60"/>
      <c r="M248" s="60"/>
      <c r="N248" s="60"/>
    </row>
    <row r="249" spans="6:14" ht="15.75" x14ac:dyDescent="0.25">
      <c r="F249" s="59"/>
      <c r="G249" s="60"/>
      <c r="H249" s="60"/>
      <c r="I249" s="60"/>
      <c r="J249" s="60"/>
      <c r="K249" s="60"/>
      <c r="L249" s="60"/>
      <c r="M249" s="60"/>
      <c r="N249" s="60"/>
    </row>
    <row r="250" spans="6:14" ht="15.75" x14ac:dyDescent="0.25">
      <c r="F250" s="59"/>
      <c r="G250" s="60"/>
      <c r="H250" s="60"/>
      <c r="I250" s="60"/>
      <c r="J250" s="60"/>
      <c r="K250" s="60"/>
      <c r="L250" s="60"/>
      <c r="M250" s="60"/>
      <c r="N250" s="60"/>
    </row>
    <row r="251" spans="6:14" ht="15.75" x14ac:dyDescent="0.25">
      <c r="F251" s="59"/>
      <c r="G251" s="60"/>
      <c r="H251" s="60"/>
      <c r="I251" s="60"/>
      <c r="J251" s="60"/>
      <c r="K251" s="60"/>
      <c r="L251" s="60"/>
      <c r="M251" s="60"/>
      <c r="N251" s="60"/>
    </row>
    <row r="252" spans="6:14" ht="15.75" x14ac:dyDescent="0.25">
      <c r="F252" s="59"/>
      <c r="G252" s="60"/>
      <c r="H252" s="60"/>
      <c r="I252" s="60"/>
      <c r="J252" s="60"/>
      <c r="K252" s="60"/>
      <c r="L252" s="60"/>
      <c r="M252" s="60"/>
      <c r="N252" s="60"/>
    </row>
    <row r="253" spans="6:14" ht="15.75" x14ac:dyDescent="0.25">
      <c r="F253" s="59"/>
      <c r="G253" s="60"/>
      <c r="H253" s="60"/>
      <c r="I253" s="60"/>
      <c r="J253" s="60"/>
      <c r="K253" s="60"/>
      <c r="L253" s="60"/>
      <c r="M253" s="60"/>
      <c r="N253" s="60"/>
    </row>
    <row r="254" spans="6:14" ht="15.75" x14ac:dyDescent="0.25">
      <c r="F254" s="59"/>
      <c r="G254" s="60"/>
      <c r="H254" s="60"/>
      <c r="I254" s="60"/>
      <c r="J254" s="60"/>
      <c r="K254" s="60"/>
      <c r="L254" s="60"/>
      <c r="M254" s="60"/>
      <c r="N254" s="60"/>
    </row>
    <row r="255" spans="6:14" ht="15.75" x14ac:dyDescent="0.25">
      <c r="F255" s="59"/>
      <c r="G255" s="60"/>
      <c r="H255" s="60"/>
      <c r="I255" s="60"/>
      <c r="J255" s="60"/>
      <c r="K255" s="60"/>
      <c r="L255" s="60"/>
      <c r="M255" s="60"/>
      <c r="N255" s="60"/>
    </row>
    <row r="256" spans="6:14" ht="15.75" x14ac:dyDescent="0.25">
      <c r="F256" s="59"/>
      <c r="G256" s="60"/>
      <c r="H256" s="60"/>
      <c r="I256" s="60"/>
      <c r="J256" s="60"/>
      <c r="K256" s="60"/>
      <c r="L256" s="60"/>
      <c r="M256" s="60"/>
      <c r="N256" s="60"/>
    </row>
    <row r="257" spans="6:14" ht="15.75" x14ac:dyDescent="0.25">
      <c r="F257" s="59"/>
      <c r="G257" s="60"/>
      <c r="H257" s="60"/>
      <c r="I257" s="60"/>
      <c r="J257" s="60"/>
      <c r="K257" s="60"/>
      <c r="L257" s="60"/>
      <c r="M257" s="60"/>
      <c r="N257" s="60"/>
    </row>
    <row r="258" spans="6:14" ht="15.75" x14ac:dyDescent="0.25">
      <c r="F258" s="59"/>
      <c r="G258" s="60"/>
      <c r="H258" s="60"/>
      <c r="I258" s="60"/>
      <c r="J258" s="60"/>
      <c r="K258" s="60"/>
      <c r="L258" s="60"/>
      <c r="M258" s="60"/>
      <c r="N258" s="60"/>
    </row>
    <row r="259" spans="6:14" ht="15.75" x14ac:dyDescent="0.25">
      <c r="F259" s="59"/>
      <c r="G259" s="60"/>
      <c r="H259" s="60"/>
      <c r="I259" s="60"/>
      <c r="J259" s="60"/>
      <c r="K259" s="60"/>
      <c r="L259" s="60"/>
      <c r="M259" s="60"/>
      <c r="N259" s="60"/>
    </row>
    <row r="260" spans="6:14" ht="15.75" x14ac:dyDescent="0.25">
      <c r="F260" s="59"/>
      <c r="G260" s="60"/>
      <c r="H260" s="60"/>
      <c r="I260" s="60"/>
      <c r="J260" s="60"/>
      <c r="K260" s="60"/>
      <c r="L260" s="60"/>
      <c r="M260" s="60"/>
      <c r="N260" s="60"/>
    </row>
    <row r="261" spans="6:14" ht="15.75" x14ac:dyDescent="0.25">
      <c r="F261" s="59"/>
      <c r="G261" s="60"/>
      <c r="H261" s="60"/>
      <c r="I261" s="60"/>
      <c r="J261" s="60"/>
      <c r="K261" s="60"/>
      <c r="L261" s="60"/>
      <c r="M261" s="60"/>
      <c r="N261" s="60"/>
    </row>
    <row r="262" spans="6:14" ht="15.75" x14ac:dyDescent="0.25">
      <c r="F262" s="59"/>
      <c r="G262" s="60"/>
      <c r="H262" s="60"/>
      <c r="I262" s="60"/>
      <c r="J262" s="60"/>
      <c r="K262" s="60"/>
      <c r="L262" s="60"/>
      <c r="M262" s="60"/>
      <c r="N262" s="60"/>
    </row>
    <row r="263" spans="6:14" ht="15.75" x14ac:dyDescent="0.25">
      <c r="F263" s="59"/>
      <c r="G263" s="60"/>
      <c r="H263" s="60"/>
      <c r="I263" s="60"/>
      <c r="J263" s="60"/>
      <c r="K263" s="60"/>
      <c r="L263" s="60"/>
      <c r="M263" s="60"/>
      <c r="N263" s="60"/>
    </row>
    <row r="264" spans="6:14" ht="15.75" x14ac:dyDescent="0.25">
      <c r="F264" s="59"/>
      <c r="G264" s="60"/>
      <c r="H264" s="60"/>
      <c r="I264" s="60"/>
      <c r="J264" s="60"/>
      <c r="K264" s="60"/>
      <c r="L264" s="60"/>
      <c r="M264" s="60"/>
      <c r="N264" s="60"/>
    </row>
    <row r="265" spans="6:14" ht="15.75" x14ac:dyDescent="0.25">
      <c r="F265" s="59"/>
      <c r="G265" s="60"/>
      <c r="H265" s="60"/>
      <c r="I265" s="60"/>
      <c r="J265" s="60"/>
      <c r="K265" s="60"/>
      <c r="L265" s="60"/>
      <c r="M265" s="60"/>
      <c r="N265" s="60"/>
    </row>
    <row r="266" spans="6:14" ht="15.75" x14ac:dyDescent="0.25">
      <c r="F266" s="59"/>
      <c r="G266" s="60"/>
      <c r="H266" s="60"/>
      <c r="I266" s="60"/>
      <c r="J266" s="60"/>
      <c r="K266" s="60"/>
      <c r="L266" s="60"/>
      <c r="M266" s="60"/>
      <c r="N266" s="60"/>
    </row>
    <row r="267" spans="6:14" ht="15.75" x14ac:dyDescent="0.25">
      <c r="F267" s="59"/>
      <c r="G267" s="60"/>
      <c r="H267" s="60"/>
      <c r="I267" s="60"/>
      <c r="J267" s="60"/>
      <c r="K267" s="60"/>
      <c r="L267" s="60"/>
      <c r="M267" s="60"/>
      <c r="N267" s="60"/>
    </row>
    <row r="268" spans="6:14" ht="15.75" x14ac:dyDescent="0.25">
      <c r="F268" s="59"/>
      <c r="G268" s="60"/>
      <c r="H268" s="60"/>
      <c r="I268" s="60"/>
      <c r="J268" s="60"/>
      <c r="K268" s="60"/>
      <c r="L268" s="60"/>
      <c r="M268" s="60"/>
      <c r="N268" s="60"/>
    </row>
    <row r="269" spans="6:14" ht="15.75" x14ac:dyDescent="0.25">
      <c r="F269" s="59"/>
      <c r="G269" s="60"/>
      <c r="H269" s="60"/>
      <c r="I269" s="60"/>
      <c r="J269" s="60"/>
      <c r="K269" s="60"/>
      <c r="L269" s="60"/>
      <c r="M269" s="60"/>
      <c r="N269" s="60"/>
    </row>
    <row r="270" spans="6:14" ht="15.75" x14ac:dyDescent="0.25">
      <c r="F270" s="59"/>
      <c r="G270" s="60"/>
      <c r="H270" s="60"/>
      <c r="I270" s="60"/>
      <c r="J270" s="60"/>
      <c r="K270" s="60"/>
      <c r="L270" s="60"/>
      <c r="M270" s="60"/>
      <c r="N270" s="60"/>
    </row>
    <row r="271" spans="6:14" ht="15.75" x14ac:dyDescent="0.25">
      <c r="F271" s="59"/>
      <c r="G271" s="60"/>
      <c r="H271" s="60"/>
      <c r="I271" s="60"/>
      <c r="J271" s="60"/>
      <c r="K271" s="60"/>
      <c r="L271" s="60"/>
      <c r="M271" s="60"/>
      <c r="N271" s="60"/>
    </row>
    <row r="272" spans="6:14" ht="15.75" x14ac:dyDescent="0.25">
      <c r="F272" s="59"/>
      <c r="G272" s="60"/>
      <c r="H272" s="60"/>
      <c r="I272" s="60"/>
      <c r="J272" s="60"/>
      <c r="K272" s="60"/>
      <c r="L272" s="60"/>
      <c r="M272" s="60"/>
      <c r="N272" s="60"/>
    </row>
    <row r="273" spans="6:14" ht="15.75" x14ac:dyDescent="0.25">
      <c r="F273" s="59"/>
      <c r="G273" s="60"/>
      <c r="H273" s="60"/>
      <c r="I273" s="60"/>
      <c r="J273" s="60"/>
      <c r="K273" s="60"/>
      <c r="L273" s="60"/>
      <c r="M273" s="60"/>
      <c r="N273" s="60"/>
    </row>
    <row r="274" spans="6:14" ht="15.75" x14ac:dyDescent="0.25">
      <c r="F274" s="59"/>
      <c r="G274" s="60"/>
      <c r="H274" s="60"/>
      <c r="I274" s="60"/>
      <c r="J274" s="60"/>
      <c r="K274" s="60"/>
      <c r="L274" s="60"/>
      <c r="M274" s="60"/>
      <c r="N274" s="60"/>
    </row>
    <row r="275" spans="6:14" ht="15.75" x14ac:dyDescent="0.25">
      <c r="F275" s="59"/>
      <c r="G275" s="60"/>
      <c r="H275" s="60"/>
      <c r="I275" s="60"/>
      <c r="J275" s="60"/>
      <c r="K275" s="60"/>
      <c r="L275" s="60"/>
      <c r="M275" s="60"/>
      <c r="N275" s="60"/>
    </row>
    <row r="276" spans="6:14" ht="15.75" x14ac:dyDescent="0.25">
      <c r="F276" s="59"/>
      <c r="G276" s="60"/>
      <c r="H276" s="60"/>
      <c r="I276" s="60"/>
      <c r="J276" s="60"/>
      <c r="K276" s="60"/>
      <c r="L276" s="60"/>
      <c r="M276" s="60"/>
      <c r="N276" s="60"/>
    </row>
    <row r="277" spans="6:14" ht="15.75" x14ac:dyDescent="0.25">
      <c r="F277" s="59"/>
      <c r="G277" s="60"/>
      <c r="H277" s="60"/>
      <c r="I277" s="60"/>
      <c r="J277" s="60"/>
      <c r="K277" s="60"/>
      <c r="L277" s="60"/>
      <c r="M277" s="60"/>
      <c r="N277" s="60"/>
    </row>
    <row r="278" spans="6:14" ht="15.75" x14ac:dyDescent="0.25">
      <c r="F278" s="59"/>
      <c r="G278" s="60"/>
      <c r="H278" s="60"/>
      <c r="I278" s="60"/>
      <c r="J278" s="60"/>
      <c r="K278" s="60"/>
      <c r="L278" s="60"/>
      <c r="M278" s="60"/>
      <c r="N278" s="60"/>
    </row>
    <row r="279" spans="6:14" ht="15.75" x14ac:dyDescent="0.25">
      <c r="F279" s="59"/>
      <c r="G279" s="60"/>
      <c r="H279" s="60"/>
      <c r="I279" s="60"/>
      <c r="J279" s="60"/>
      <c r="K279" s="60"/>
      <c r="L279" s="60"/>
      <c r="M279" s="60"/>
      <c r="N279" s="60"/>
    </row>
    <row r="280" spans="6:14" ht="15.75" x14ac:dyDescent="0.25">
      <c r="F280" s="59"/>
      <c r="G280" s="60"/>
      <c r="H280" s="60"/>
      <c r="I280" s="60"/>
      <c r="J280" s="60"/>
      <c r="K280" s="60"/>
      <c r="L280" s="60"/>
      <c r="M280" s="60"/>
      <c r="N280" s="60"/>
    </row>
    <row r="281" spans="6:14" ht="15.75" x14ac:dyDescent="0.25">
      <c r="F281" s="59"/>
      <c r="G281" s="60"/>
      <c r="H281" s="60"/>
      <c r="I281" s="60"/>
      <c r="J281" s="60"/>
      <c r="K281" s="60"/>
      <c r="L281" s="60"/>
      <c r="M281" s="60"/>
      <c r="N281" s="60"/>
    </row>
    <row r="282" spans="6:14" ht="15.75" x14ac:dyDescent="0.25">
      <c r="F282" s="59"/>
      <c r="G282" s="60"/>
      <c r="H282" s="60"/>
      <c r="I282" s="60"/>
      <c r="J282" s="60"/>
      <c r="K282" s="60"/>
      <c r="L282" s="60"/>
      <c r="M282" s="60"/>
      <c r="N282" s="60"/>
    </row>
    <row r="283" spans="6:14" ht="15.75" x14ac:dyDescent="0.25">
      <c r="F283" s="59"/>
      <c r="G283" s="60"/>
      <c r="H283" s="60"/>
      <c r="I283" s="60"/>
      <c r="J283" s="60"/>
      <c r="K283" s="60"/>
      <c r="L283" s="60"/>
      <c r="M283" s="60"/>
      <c r="N283" s="60"/>
    </row>
    <row r="284" spans="6:14" ht="15.75" x14ac:dyDescent="0.25">
      <c r="F284" s="59"/>
      <c r="G284" s="60"/>
      <c r="H284" s="60"/>
      <c r="I284" s="60"/>
      <c r="J284" s="60"/>
      <c r="K284" s="60"/>
      <c r="L284" s="60"/>
      <c r="M284" s="60"/>
      <c r="N284" s="60"/>
    </row>
    <row r="285" spans="6:14" ht="15.75" x14ac:dyDescent="0.25">
      <c r="F285" s="59"/>
      <c r="G285" s="60"/>
      <c r="H285" s="60"/>
      <c r="I285" s="60"/>
      <c r="J285" s="60"/>
      <c r="K285" s="60"/>
      <c r="L285" s="60"/>
      <c r="M285" s="60"/>
      <c r="N285" s="60"/>
    </row>
    <row r="286" spans="6:14" ht="15.75" x14ac:dyDescent="0.25">
      <c r="F286" s="59"/>
      <c r="G286" s="60"/>
      <c r="H286" s="60"/>
      <c r="I286" s="60"/>
      <c r="J286" s="60"/>
      <c r="K286" s="60"/>
      <c r="L286" s="60"/>
      <c r="M286" s="60"/>
      <c r="N286" s="60"/>
    </row>
    <row r="287" spans="6:14" ht="15.75" x14ac:dyDescent="0.25">
      <c r="F287" s="59"/>
      <c r="G287" s="60"/>
      <c r="H287" s="60"/>
      <c r="I287" s="60"/>
      <c r="J287" s="60"/>
      <c r="K287" s="60"/>
      <c r="L287" s="60"/>
      <c r="M287" s="60"/>
      <c r="N287" s="60"/>
    </row>
    <row r="288" spans="6:14" ht="15.75" x14ac:dyDescent="0.25">
      <c r="F288" s="59"/>
      <c r="G288" s="60"/>
      <c r="H288" s="60"/>
      <c r="I288" s="60"/>
      <c r="J288" s="60"/>
      <c r="K288" s="60"/>
      <c r="L288" s="60"/>
      <c r="M288" s="60"/>
      <c r="N288" s="60"/>
    </row>
    <row r="289" spans="6:14" ht="15.75" x14ac:dyDescent="0.25">
      <c r="F289" s="59"/>
      <c r="G289" s="60"/>
      <c r="H289" s="60"/>
      <c r="I289" s="60"/>
      <c r="J289" s="60"/>
      <c r="K289" s="60"/>
      <c r="L289" s="60"/>
      <c r="M289" s="60"/>
      <c r="N289" s="60"/>
    </row>
    <row r="290" spans="6:14" ht="15.75" x14ac:dyDescent="0.25">
      <c r="F290" s="59"/>
      <c r="G290" s="60"/>
      <c r="H290" s="60"/>
      <c r="I290" s="60"/>
      <c r="J290" s="60"/>
      <c r="K290" s="60"/>
      <c r="L290" s="60"/>
      <c r="M290" s="60"/>
      <c r="N290" s="60"/>
    </row>
    <row r="291" spans="6:14" ht="15.75" x14ac:dyDescent="0.25">
      <c r="F291" s="59"/>
      <c r="G291" s="60"/>
      <c r="H291" s="60"/>
      <c r="I291" s="60"/>
      <c r="J291" s="60"/>
      <c r="K291" s="60"/>
      <c r="L291" s="60"/>
      <c r="M291" s="60"/>
      <c r="N291" s="60"/>
    </row>
    <row r="292" spans="6:14" ht="15.75" x14ac:dyDescent="0.25">
      <c r="F292" s="59"/>
      <c r="G292" s="60"/>
      <c r="H292" s="60"/>
      <c r="I292" s="60"/>
      <c r="J292" s="60"/>
      <c r="K292" s="60"/>
      <c r="L292" s="60"/>
      <c r="M292" s="60"/>
      <c r="N292" s="60"/>
    </row>
    <row r="293" spans="6:14" ht="15.75" x14ac:dyDescent="0.25">
      <c r="F293" s="59"/>
      <c r="G293" s="60"/>
      <c r="H293" s="60"/>
      <c r="I293" s="60"/>
      <c r="J293" s="60"/>
      <c r="K293" s="60"/>
      <c r="L293" s="60"/>
      <c r="M293" s="60"/>
      <c r="N293" s="60"/>
    </row>
    <row r="294" spans="6:14" ht="15.75" x14ac:dyDescent="0.25">
      <c r="F294" s="59"/>
      <c r="G294" s="60"/>
      <c r="H294" s="60"/>
      <c r="I294" s="60"/>
      <c r="J294" s="60"/>
      <c r="K294" s="60"/>
      <c r="L294" s="60"/>
      <c r="M294" s="60"/>
      <c r="N294" s="60"/>
    </row>
    <row r="295" spans="6:14" ht="15.75" x14ac:dyDescent="0.25">
      <c r="F295" s="59"/>
      <c r="G295" s="60"/>
      <c r="H295" s="60"/>
      <c r="I295" s="60"/>
      <c r="J295" s="60"/>
      <c r="K295" s="60"/>
      <c r="L295" s="60"/>
      <c r="M295" s="60"/>
      <c r="N295" s="60"/>
    </row>
    <row r="296" spans="6:14" ht="15.75" x14ac:dyDescent="0.25">
      <c r="F296" s="59"/>
      <c r="G296" s="60"/>
      <c r="H296" s="60"/>
      <c r="I296" s="60"/>
      <c r="J296" s="60"/>
      <c r="K296" s="60"/>
      <c r="L296" s="60"/>
      <c r="M296" s="60"/>
      <c r="N296" s="60"/>
    </row>
    <row r="297" spans="6:14" ht="15.75" x14ac:dyDescent="0.25">
      <c r="F297" s="59"/>
      <c r="G297" s="60"/>
      <c r="H297" s="60"/>
      <c r="I297" s="60"/>
      <c r="J297" s="60"/>
      <c r="K297" s="60"/>
      <c r="L297" s="60"/>
      <c r="M297" s="60"/>
      <c r="N297" s="60"/>
    </row>
    <row r="298" spans="6:14" ht="15.75" x14ac:dyDescent="0.25">
      <c r="F298" s="59"/>
      <c r="G298" s="60"/>
      <c r="H298" s="60"/>
      <c r="I298" s="60"/>
      <c r="J298" s="60"/>
      <c r="K298" s="60"/>
      <c r="L298" s="60"/>
      <c r="M298" s="60"/>
      <c r="N298" s="60"/>
    </row>
    <row r="299" spans="6:14" ht="15.75" x14ac:dyDescent="0.25">
      <c r="F299" s="59"/>
      <c r="G299" s="60"/>
      <c r="H299" s="60"/>
      <c r="I299" s="60"/>
      <c r="J299" s="60"/>
      <c r="K299" s="60"/>
      <c r="L299" s="60"/>
      <c r="M299" s="60"/>
      <c r="N299" s="60"/>
    </row>
    <row r="300" spans="6:14" ht="15.75" x14ac:dyDescent="0.25">
      <c r="F300" s="59"/>
      <c r="G300" s="60"/>
      <c r="H300" s="60"/>
      <c r="I300" s="60"/>
      <c r="J300" s="60"/>
      <c r="K300" s="60"/>
      <c r="L300" s="60"/>
      <c r="M300" s="60"/>
      <c r="N300" s="60"/>
    </row>
    <row r="301" spans="6:14" ht="15.75" x14ac:dyDescent="0.25">
      <c r="F301" s="59"/>
      <c r="G301" s="60"/>
      <c r="H301" s="60"/>
      <c r="I301" s="60"/>
      <c r="J301" s="60"/>
      <c r="K301" s="60"/>
      <c r="L301" s="60"/>
      <c r="M301" s="60"/>
      <c r="N301" s="60"/>
    </row>
    <row r="302" spans="6:14" ht="15.75" x14ac:dyDescent="0.25">
      <c r="F302" s="59"/>
      <c r="G302" s="60"/>
      <c r="H302" s="60"/>
      <c r="I302" s="60"/>
      <c r="J302" s="60"/>
      <c r="K302" s="60"/>
      <c r="L302" s="60"/>
      <c r="M302" s="60"/>
      <c r="N302" s="60"/>
    </row>
    <row r="303" spans="6:14" ht="15.75" x14ac:dyDescent="0.25">
      <c r="F303" s="59"/>
      <c r="G303" s="60"/>
      <c r="H303" s="60"/>
      <c r="I303" s="60"/>
      <c r="J303" s="60"/>
      <c r="K303" s="60"/>
      <c r="L303" s="60"/>
      <c r="M303" s="60"/>
      <c r="N303" s="60"/>
    </row>
    <row r="304" spans="6:14" ht="15.75" x14ac:dyDescent="0.25">
      <c r="F304" s="59"/>
      <c r="G304" s="60"/>
      <c r="H304" s="60"/>
      <c r="I304" s="60"/>
      <c r="J304" s="60"/>
      <c r="K304" s="60"/>
      <c r="L304" s="60"/>
      <c r="M304" s="60"/>
      <c r="N304" s="60"/>
    </row>
    <row r="305" spans="6:14" ht="15.75" x14ac:dyDescent="0.25">
      <c r="F305" s="59"/>
      <c r="G305" s="60"/>
      <c r="H305" s="60"/>
      <c r="I305" s="60"/>
      <c r="J305" s="60"/>
      <c r="K305" s="60"/>
      <c r="L305" s="60"/>
      <c r="M305" s="60"/>
      <c r="N305" s="60"/>
    </row>
    <row r="306" spans="6:14" ht="15.75" x14ac:dyDescent="0.25">
      <c r="F306" s="59"/>
      <c r="G306" s="60"/>
      <c r="H306" s="60"/>
      <c r="I306" s="60"/>
      <c r="J306" s="60"/>
      <c r="K306" s="60"/>
      <c r="L306" s="60"/>
      <c r="M306" s="60"/>
      <c r="N306" s="60"/>
    </row>
    <row r="307" spans="6:14" ht="15.75" x14ac:dyDescent="0.25">
      <c r="F307" s="59"/>
      <c r="G307" s="60"/>
      <c r="H307" s="60"/>
      <c r="I307" s="60"/>
      <c r="J307" s="60"/>
      <c r="K307" s="60"/>
      <c r="L307" s="60"/>
      <c r="M307" s="60"/>
      <c r="N307" s="60"/>
    </row>
    <row r="308" spans="6:14" ht="15.75" x14ac:dyDescent="0.25">
      <c r="F308" s="59"/>
      <c r="G308" s="60"/>
      <c r="H308" s="60"/>
      <c r="I308" s="60"/>
      <c r="J308" s="60"/>
      <c r="K308" s="60"/>
      <c r="L308" s="60"/>
      <c r="M308" s="60"/>
      <c r="N308" s="60"/>
    </row>
    <row r="309" spans="6:14" ht="15.75" x14ac:dyDescent="0.25">
      <c r="F309" s="59"/>
      <c r="G309" s="60"/>
      <c r="H309" s="60"/>
      <c r="I309" s="60"/>
      <c r="J309" s="60"/>
      <c r="K309" s="60"/>
      <c r="L309" s="60"/>
      <c r="M309" s="60"/>
      <c r="N309" s="60"/>
    </row>
    <row r="310" spans="6:14" ht="15.75" x14ac:dyDescent="0.25">
      <c r="F310" s="59"/>
      <c r="G310" s="60"/>
      <c r="H310" s="60"/>
      <c r="I310" s="60"/>
      <c r="J310" s="60"/>
      <c r="K310" s="60"/>
      <c r="L310" s="60"/>
      <c r="M310" s="60"/>
      <c r="N310" s="60"/>
    </row>
    <row r="311" spans="6:14" ht="15.75" x14ac:dyDescent="0.25">
      <c r="F311" s="59"/>
      <c r="G311" s="60"/>
      <c r="H311" s="60"/>
      <c r="I311" s="60"/>
      <c r="J311" s="60"/>
      <c r="K311" s="60"/>
      <c r="L311" s="60"/>
      <c r="M311" s="60"/>
      <c r="N311" s="60"/>
    </row>
    <row r="312" spans="6:14" ht="15.75" x14ac:dyDescent="0.25">
      <c r="F312" s="59"/>
      <c r="G312" s="60"/>
      <c r="H312" s="60"/>
      <c r="I312" s="60"/>
      <c r="J312" s="60"/>
      <c r="K312" s="60"/>
      <c r="L312" s="60"/>
      <c r="M312" s="60"/>
      <c r="N312" s="60"/>
    </row>
    <row r="313" spans="6:14" ht="15.75" x14ac:dyDescent="0.25">
      <c r="F313" s="59"/>
      <c r="G313" s="60"/>
      <c r="H313" s="60"/>
      <c r="I313" s="60"/>
      <c r="J313" s="60"/>
      <c r="K313" s="60"/>
      <c r="L313" s="60"/>
      <c r="M313" s="60"/>
      <c r="N313" s="60"/>
    </row>
    <row r="314" spans="6:14" ht="15.75" x14ac:dyDescent="0.25">
      <c r="F314" s="59"/>
      <c r="G314" s="60"/>
      <c r="H314" s="60"/>
      <c r="I314" s="60"/>
      <c r="J314" s="60"/>
      <c r="K314" s="60"/>
      <c r="L314" s="60"/>
      <c r="M314" s="60"/>
      <c r="N314" s="60"/>
    </row>
    <row r="315" spans="6:14" ht="15.75" x14ac:dyDescent="0.25">
      <c r="F315" s="59"/>
      <c r="G315" s="60"/>
      <c r="H315" s="60"/>
      <c r="I315" s="60"/>
      <c r="J315" s="60"/>
      <c r="K315" s="60"/>
      <c r="L315" s="60"/>
      <c r="M315" s="60"/>
      <c r="N315" s="60"/>
    </row>
    <row r="316" spans="6:14" ht="15.75" x14ac:dyDescent="0.25">
      <c r="F316" s="59"/>
      <c r="G316" s="60"/>
      <c r="H316" s="60"/>
      <c r="I316" s="60"/>
      <c r="J316" s="60"/>
      <c r="K316" s="60"/>
      <c r="L316" s="60"/>
      <c r="M316" s="60"/>
      <c r="N316" s="60"/>
    </row>
    <row r="317" spans="6:14" ht="15.75" x14ac:dyDescent="0.25">
      <c r="F317" s="59"/>
      <c r="G317" s="60"/>
      <c r="H317" s="60"/>
      <c r="I317" s="60"/>
      <c r="J317" s="60"/>
      <c r="K317" s="60"/>
      <c r="L317" s="60"/>
      <c r="M317" s="60"/>
      <c r="N317" s="60"/>
    </row>
    <row r="318" spans="6:14" ht="15.75" x14ac:dyDescent="0.25">
      <c r="F318" s="59"/>
      <c r="G318" s="60"/>
      <c r="H318" s="60"/>
      <c r="I318" s="60"/>
      <c r="J318" s="60"/>
      <c r="K318" s="60"/>
      <c r="L318" s="60"/>
      <c r="M318" s="60"/>
      <c r="N318" s="60"/>
    </row>
    <row r="319" spans="6:14" ht="15.75" x14ac:dyDescent="0.25">
      <c r="F319" s="59"/>
      <c r="G319" s="60"/>
      <c r="H319" s="60"/>
      <c r="I319" s="60"/>
      <c r="J319" s="60"/>
      <c r="K319" s="60"/>
      <c r="L319" s="60"/>
      <c r="M319" s="60"/>
      <c r="N319" s="60"/>
    </row>
    <row r="320" spans="6:14" ht="15.75" x14ac:dyDescent="0.25">
      <c r="F320" s="59"/>
      <c r="G320" s="60"/>
      <c r="H320" s="60"/>
      <c r="I320" s="60"/>
      <c r="J320" s="60"/>
      <c r="K320" s="60"/>
      <c r="L320" s="60"/>
      <c r="M320" s="60"/>
      <c r="N320" s="60"/>
    </row>
    <row r="321" spans="6:14" ht="15.75" x14ac:dyDescent="0.25">
      <c r="F321" s="59"/>
      <c r="G321" s="60"/>
      <c r="H321" s="60"/>
      <c r="I321" s="60"/>
      <c r="J321" s="60"/>
      <c r="K321" s="60"/>
      <c r="L321" s="60"/>
      <c r="M321" s="60"/>
      <c r="N321" s="60"/>
    </row>
    <row r="322" spans="6:14" ht="15.75" x14ac:dyDescent="0.25">
      <c r="F322" s="59"/>
      <c r="G322" s="60"/>
      <c r="H322" s="60"/>
      <c r="I322" s="60"/>
      <c r="J322" s="60"/>
      <c r="K322" s="60"/>
      <c r="L322" s="60"/>
      <c r="M322" s="60"/>
      <c r="N322" s="60"/>
    </row>
    <row r="323" spans="6:14" ht="15.75" x14ac:dyDescent="0.25">
      <c r="F323" s="59"/>
      <c r="G323" s="60"/>
      <c r="H323" s="60"/>
      <c r="I323" s="60"/>
      <c r="J323" s="60"/>
      <c r="K323" s="60"/>
      <c r="L323" s="60"/>
      <c r="M323" s="60"/>
      <c r="N323" s="60"/>
    </row>
    <row r="324" spans="6:14" ht="15.75" x14ac:dyDescent="0.25">
      <c r="F324" s="59"/>
      <c r="G324" s="60"/>
      <c r="H324" s="60"/>
      <c r="I324" s="60"/>
      <c r="J324" s="60"/>
      <c r="K324" s="60"/>
      <c r="L324" s="60"/>
      <c r="M324" s="60"/>
      <c r="N324" s="60"/>
    </row>
    <row r="325" spans="6:14" ht="15.75" x14ac:dyDescent="0.25">
      <c r="F325" s="59"/>
      <c r="G325" s="60"/>
      <c r="H325" s="60"/>
      <c r="I325" s="60"/>
      <c r="J325" s="60"/>
      <c r="K325" s="60"/>
      <c r="L325" s="60"/>
      <c r="M325" s="60"/>
      <c r="N325" s="60"/>
    </row>
    <row r="326" spans="6:14" ht="15.75" x14ac:dyDescent="0.25">
      <c r="F326" s="59"/>
      <c r="G326" s="60"/>
      <c r="H326" s="60"/>
      <c r="I326" s="60"/>
      <c r="J326" s="60"/>
      <c r="K326" s="60"/>
      <c r="L326" s="60"/>
      <c r="M326" s="60"/>
      <c r="N326" s="60"/>
    </row>
    <row r="327" spans="6:14" ht="15.75" x14ac:dyDescent="0.25">
      <c r="F327" s="59"/>
      <c r="G327" s="60"/>
      <c r="H327" s="60"/>
      <c r="I327" s="60"/>
      <c r="J327" s="60"/>
      <c r="K327" s="60"/>
      <c r="L327" s="60"/>
      <c r="M327" s="60"/>
      <c r="N327" s="60"/>
    </row>
    <row r="328" spans="6:14" ht="15.75" x14ac:dyDescent="0.25">
      <c r="F328" s="59"/>
      <c r="G328" s="60"/>
      <c r="H328" s="60"/>
      <c r="I328" s="60"/>
      <c r="J328" s="60"/>
      <c r="K328" s="60"/>
      <c r="L328" s="60"/>
      <c r="M328" s="60"/>
      <c r="N328" s="60"/>
    </row>
    <row r="329" spans="6:14" ht="15.75" x14ac:dyDescent="0.25">
      <c r="F329" s="59"/>
      <c r="G329" s="60"/>
      <c r="H329" s="60"/>
      <c r="I329" s="60"/>
      <c r="J329" s="60"/>
      <c r="K329" s="60"/>
      <c r="L329" s="60"/>
      <c r="M329" s="60"/>
      <c r="N329" s="60"/>
    </row>
    <row r="330" spans="6:14" ht="15.75" x14ac:dyDescent="0.25">
      <c r="F330" s="59"/>
      <c r="G330" s="60"/>
      <c r="H330" s="60"/>
      <c r="I330" s="60"/>
      <c r="J330" s="60"/>
      <c r="K330" s="60"/>
      <c r="L330" s="60"/>
      <c r="M330" s="60"/>
      <c r="N330" s="60"/>
    </row>
    <row r="331" spans="6:14" ht="15.75" x14ac:dyDescent="0.25">
      <c r="F331" s="59"/>
      <c r="G331" s="60"/>
      <c r="H331" s="60"/>
      <c r="I331" s="60"/>
      <c r="J331" s="60"/>
      <c r="K331" s="60"/>
      <c r="L331" s="60"/>
      <c r="M331" s="60"/>
      <c r="N331" s="60"/>
    </row>
    <row r="332" spans="6:14" ht="15.75" x14ac:dyDescent="0.25">
      <c r="F332" s="59"/>
      <c r="G332" s="60"/>
      <c r="H332" s="60"/>
      <c r="I332" s="60"/>
      <c r="J332" s="60"/>
      <c r="K332" s="60"/>
      <c r="L332" s="60"/>
      <c r="M332" s="60"/>
      <c r="N332" s="60"/>
    </row>
    <row r="333" spans="6:14" ht="15.75" x14ac:dyDescent="0.25">
      <c r="F333" s="59"/>
      <c r="G333" s="60"/>
      <c r="H333" s="60"/>
      <c r="I333" s="60"/>
      <c r="J333" s="60"/>
      <c r="K333" s="60"/>
      <c r="L333" s="60"/>
      <c r="M333" s="60"/>
      <c r="N333" s="60"/>
    </row>
    <row r="334" spans="6:14" ht="15.75" x14ac:dyDescent="0.25">
      <c r="F334" s="59"/>
      <c r="G334" s="60"/>
      <c r="H334" s="60"/>
      <c r="I334" s="60"/>
      <c r="J334" s="60"/>
      <c r="K334" s="60"/>
      <c r="L334" s="60"/>
      <c r="M334" s="60"/>
      <c r="N334" s="60"/>
    </row>
    <row r="335" spans="6:14" ht="15.75" x14ac:dyDescent="0.25">
      <c r="F335" s="59"/>
      <c r="G335" s="60"/>
      <c r="H335" s="60"/>
      <c r="I335" s="60"/>
      <c r="J335" s="60"/>
      <c r="K335" s="60"/>
      <c r="L335" s="60"/>
      <c r="M335" s="60"/>
      <c r="N335" s="60"/>
    </row>
    <row r="336" spans="6:14" ht="15.75" x14ac:dyDescent="0.25">
      <c r="F336" s="59"/>
      <c r="G336" s="60"/>
      <c r="H336" s="60"/>
      <c r="I336" s="60"/>
      <c r="J336" s="60"/>
      <c r="K336" s="60"/>
      <c r="L336" s="60"/>
      <c r="M336" s="60"/>
      <c r="N336" s="60"/>
    </row>
    <row r="337" spans="6:14" ht="15.75" x14ac:dyDescent="0.25">
      <c r="F337" s="59"/>
      <c r="G337" s="60"/>
      <c r="H337" s="60"/>
      <c r="I337" s="60"/>
      <c r="J337" s="60"/>
      <c r="K337" s="60"/>
      <c r="L337" s="60"/>
      <c r="M337" s="60"/>
      <c r="N337" s="60"/>
    </row>
    <row r="338" spans="6:14" ht="15.75" x14ac:dyDescent="0.25">
      <c r="F338" s="59"/>
      <c r="G338" s="60"/>
      <c r="H338" s="60"/>
      <c r="I338" s="60"/>
      <c r="J338" s="60"/>
      <c r="K338" s="60"/>
      <c r="L338" s="60"/>
      <c r="M338" s="60"/>
      <c r="N338" s="60"/>
    </row>
    <row r="339" spans="6:14" ht="15.75" x14ac:dyDescent="0.25">
      <c r="F339" s="59"/>
      <c r="G339" s="60"/>
      <c r="H339" s="60"/>
      <c r="I339" s="60"/>
      <c r="J339" s="60"/>
      <c r="K339" s="60"/>
      <c r="L339" s="60"/>
      <c r="M339" s="60"/>
      <c r="N339" s="60"/>
    </row>
    <row r="340" spans="6:14" ht="15.75" x14ac:dyDescent="0.25">
      <c r="F340" s="59"/>
      <c r="G340" s="60"/>
      <c r="H340" s="60"/>
      <c r="I340" s="60"/>
      <c r="J340" s="60"/>
      <c r="K340" s="60"/>
      <c r="L340" s="60"/>
      <c r="M340" s="60"/>
      <c r="N340" s="60"/>
    </row>
    <row r="341" spans="6:14" ht="15.75" x14ac:dyDescent="0.25">
      <c r="F341" s="59"/>
      <c r="G341" s="60"/>
      <c r="H341" s="60"/>
      <c r="I341" s="60"/>
      <c r="J341" s="60"/>
      <c r="K341" s="60"/>
      <c r="L341" s="60"/>
      <c r="M341" s="60"/>
      <c r="N341" s="60"/>
    </row>
    <row r="342" spans="6:14" ht="15.75" x14ac:dyDescent="0.25">
      <c r="F342" s="59"/>
      <c r="G342" s="60"/>
      <c r="H342" s="60"/>
      <c r="I342" s="60"/>
      <c r="J342" s="60"/>
      <c r="K342" s="60"/>
      <c r="L342" s="60"/>
      <c r="M342" s="60"/>
      <c r="N342" s="60"/>
    </row>
    <row r="343" spans="6:14" ht="15.75" x14ac:dyDescent="0.25">
      <c r="F343" s="59"/>
      <c r="G343" s="60"/>
      <c r="H343" s="60"/>
      <c r="I343" s="60"/>
      <c r="J343" s="60"/>
      <c r="K343" s="60"/>
      <c r="L343" s="60"/>
      <c r="M343" s="60"/>
      <c r="N343" s="60"/>
    </row>
    <row r="344" spans="6:14" ht="15.75" x14ac:dyDescent="0.25">
      <c r="F344" s="59"/>
      <c r="G344" s="60"/>
      <c r="H344" s="60"/>
      <c r="I344" s="60"/>
      <c r="J344" s="60"/>
      <c r="K344" s="60"/>
      <c r="L344" s="60"/>
      <c r="M344" s="60"/>
      <c r="N344" s="60"/>
    </row>
    <row r="345" spans="6:14" ht="15.75" x14ac:dyDescent="0.25">
      <c r="F345" s="59"/>
      <c r="G345" s="60"/>
      <c r="H345" s="60"/>
      <c r="I345" s="60"/>
      <c r="J345" s="60"/>
      <c r="K345" s="60"/>
      <c r="L345" s="60"/>
      <c r="M345" s="60"/>
      <c r="N345" s="60"/>
    </row>
    <row r="346" spans="6:14" ht="15.75" x14ac:dyDescent="0.25">
      <c r="F346" s="59"/>
      <c r="G346" s="60"/>
      <c r="H346" s="60"/>
      <c r="I346" s="60"/>
      <c r="J346" s="60"/>
      <c r="K346" s="60"/>
      <c r="L346" s="60"/>
      <c r="M346" s="60"/>
      <c r="N346" s="60"/>
    </row>
    <row r="347" spans="6:14" ht="15.75" x14ac:dyDescent="0.25">
      <c r="F347" s="59"/>
      <c r="G347" s="60"/>
      <c r="H347" s="60"/>
      <c r="I347" s="60"/>
      <c r="J347" s="60"/>
      <c r="K347" s="60"/>
      <c r="L347" s="60"/>
      <c r="M347" s="60"/>
      <c r="N347" s="60"/>
    </row>
    <row r="348" spans="6:14" ht="15.75" x14ac:dyDescent="0.25">
      <c r="F348" s="59"/>
      <c r="G348" s="60"/>
      <c r="H348" s="60"/>
      <c r="I348" s="60"/>
      <c r="J348" s="60"/>
      <c r="K348" s="60"/>
      <c r="L348" s="60"/>
      <c r="M348" s="60"/>
      <c r="N348" s="60"/>
    </row>
    <row r="349" spans="6:14" ht="15.75" x14ac:dyDescent="0.25">
      <c r="F349" s="59"/>
      <c r="G349" s="60"/>
      <c r="H349" s="60"/>
      <c r="I349" s="60"/>
      <c r="J349" s="60"/>
      <c r="K349" s="60"/>
      <c r="L349" s="60"/>
      <c r="M349" s="60"/>
      <c r="N349" s="60"/>
    </row>
    <row r="350" spans="6:14" ht="15.75" x14ac:dyDescent="0.25">
      <c r="F350" s="59"/>
      <c r="G350" s="60"/>
      <c r="H350" s="60"/>
      <c r="I350" s="60"/>
      <c r="J350" s="60"/>
      <c r="K350" s="60"/>
      <c r="L350" s="60"/>
      <c r="M350" s="60"/>
      <c r="N350" s="60"/>
    </row>
    <row r="351" spans="6:14" ht="15.75" x14ac:dyDescent="0.25">
      <c r="F351" s="59"/>
      <c r="G351" s="60"/>
      <c r="H351" s="60"/>
      <c r="I351" s="60"/>
      <c r="J351" s="60"/>
      <c r="K351" s="60"/>
      <c r="L351" s="60"/>
      <c r="M351" s="60"/>
      <c r="N351" s="60"/>
    </row>
    <row r="352" spans="6:14" ht="15.75" x14ac:dyDescent="0.25">
      <c r="F352" s="59"/>
      <c r="G352" s="60"/>
      <c r="H352" s="60"/>
      <c r="I352" s="60"/>
      <c r="J352" s="60"/>
      <c r="K352" s="60"/>
      <c r="L352" s="60"/>
      <c r="M352" s="60"/>
      <c r="N352" s="60"/>
    </row>
    <row r="353" spans="6:14" ht="15.75" x14ac:dyDescent="0.25">
      <c r="F353" s="59"/>
      <c r="G353" s="60"/>
      <c r="H353" s="60"/>
      <c r="I353" s="60"/>
      <c r="J353" s="60"/>
      <c r="K353" s="60"/>
      <c r="L353" s="60"/>
      <c r="M353" s="60"/>
      <c r="N353" s="60"/>
    </row>
    <row r="354" spans="6:14" ht="15.75" x14ac:dyDescent="0.25">
      <c r="F354" s="59"/>
      <c r="G354" s="60"/>
      <c r="H354" s="60"/>
      <c r="I354" s="60"/>
      <c r="J354" s="60"/>
      <c r="K354" s="60"/>
      <c r="L354" s="60"/>
      <c r="M354" s="60"/>
      <c r="N354" s="60"/>
    </row>
    <row r="355" spans="6:14" ht="15.75" x14ac:dyDescent="0.25">
      <c r="F355" s="59"/>
      <c r="G355" s="60"/>
      <c r="H355" s="60"/>
      <c r="I355" s="60"/>
      <c r="J355" s="60"/>
      <c r="K355" s="60"/>
      <c r="L355" s="60"/>
      <c r="M355" s="60"/>
      <c r="N355" s="60"/>
    </row>
    <row r="356" spans="6:14" ht="15.75" x14ac:dyDescent="0.25">
      <c r="F356" s="59"/>
      <c r="G356" s="60"/>
      <c r="H356" s="60"/>
      <c r="I356" s="60"/>
      <c r="J356" s="60"/>
      <c r="K356" s="60"/>
      <c r="L356" s="60"/>
      <c r="M356" s="60"/>
      <c r="N356" s="60"/>
    </row>
    <row r="357" spans="6:14" ht="15.75" x14ac:dyDescent="0.25">
      <c r="F357" s="59"/>
      <c r="G357" s="60"/>
      <c r="H357" s="60"/>
      <c r="I357" s="60"/>
      <c r="J357" s="60"/>
      <c r="K357" s="60"/>
      <c r="L357" s="60"/>
      <c r="M357" s="60"/>
      <c r="N357" s="60"/>
    </row>
    <row r="358" spans="6:14" ht="15.75" x14ac:dyDescent="0.25">
      <c r="F358" s="59"/>
      <c r="G358" s="60"/>
      <c r="H358" s="60"/>
      <c r="I358" s="60"/>
      <c r="J358" s="60"/>
      <c r="K358" s="60"/>
      <c r="L358" s="60"/>
      <c r="M358" s="60"/>
      <c r="N358" s="60"/>
    </row>
    <row r="359" spans="6:14" ht="15.75" x14ac:dyDescent="0.25">
      <c r="F359" s="59"/>
      <c r="G359" s="60"/>
      <c r="H359" s="60"/>
      <c r="I359" s="60"/>
      <c r="J359" s="60"/>
      <c r="K359" s="60"/>
      <c r="L359" s="60"/>
      <c r="M359" s="60"/>
      <c r="N359" s="60"/>
    </row>
    <row r="360" spans="6:14" ht="15.75" x14ac:dyDescent="0.25">
      <c r="F360" s="59"/>
      <c r="G360" s="60"/>
      <c r="H360" s="60"/>
      <c r="I360" s="60"/>
      <c r="J360" s="60"/>
      <c r="K360" s="60"/>
      <c r="L360" s="60"/>
      <c r="M360" s="60"/>
      <c r="N360" s="60"/>
    </row>
    <row r="361" spans="6:14" ht="15.75" x14ac:dyDescent="0.25">
      <c r="F361" s="59"/>
      <c r="G361" s="60"/>
      <c r="H361" s="60"/>
      <c r="I361" s="60"/>
      <c r="J361" s="60"/>
      <c r="K361" s="60"/>
      <c r="L361" s="60"/>
      <c r="M361" s="60"/>
      <c r="N361" s="60"/>
    </row>
    <row r="362" spans="6:14" ht="15.75" x14ac:dyDescent="0.25">
      <c r="F362" s="59"/>
      <c r="G362" s="60"/>
      <c r="H362" s="60"/>
      <c r="I362" s="60"/>
      <c r="J362" s="60"/>
      <c r="K362" s="60"/>
      <c r="L362" s="60"/>
      <c r="M362" s="60"/>
      <c r="N362" s="60"/>
    </row>
    <row r="363" spans="6:14" ht="15.75" x14ac:dyDescent="0.25">
      <c r="F363" s="59"/>
      <c r="G363" s="60"/>
      <c r="H363" s="60"/>
      <c r="I363" s="60"/>
      <c r="J363" s="60"/>
      <c r="K363" s="60"/>
      <c r="L363" s="60"/>
      <c r="M363" s="60"/>
      <c r="N363" s="60"/>
    </row>
    <row r="364" spans="6:14" ht="15.75" x14ac:dyDescent="0.25">
      <c r="F364" s="59"/>
      <c r="G364" s="60"/>
      <c r="H364" s="60"/>
      <c r="I364" s="60"/>
      <c r="J364" s="60"/>
      <c r="K364" s="60"/>
      <c r="L364" s="60"/>
      <c r="M364" s="60"/>
      <c r="N364" s="60"/>
    </row>
    <row r="365" spans="6:14" ht="15.75" x14ac:dyDescent="0.25">
      <c r="F365" s="59"/>
      <c r="G365" s="60"/>
      <c r="H365" s="60"/>
      <c r="I365" s="60"/>
      <c r="J365" s="60"/>
      <c r="K365" s="60"/>
      <c r="L365" s="60"/>
      <c r="M365" s="60"/>
      <c r="N365" s="60"/>
    </row>
    <row r="366" spans="6:14" ht="15.75" x14ac:dyDescent="0.25">
      <c r="F366" s="59"/>
      <c r="G366" s="60"/>
      <c r="H366" s="60"/>
      <c r="I366" s="60"/>
      <c r="J366" s="60"/>
      <c r="K366" s="60"/>
      <c r="L366" s="60"/>
      <c r="M366" s="60"/>
      <c r="N366" s="60"/>
    </row>
    <row r="367" spans="6:14" ht="15.75" x14ac:dyDescent="0.25">
      <c r="F367" s="59"/>
      <c r="G367" s="60"/>
      <c r="H367" s="60"/>
      <c r="I367" s="60"/>
      <c r="J367" s="60"/>
      <c r="K367" s="60"/>
      <c r="L367" s="60"/>
      <c r="M367" s="60"/>
      <c r="N367" s="60"/>
    </row>
    <row r="368" spans="6:14" ht="15.75" x14ac:dyDescent="0.25">
      <c r="F368" s="59"/>
      <c r="G368" s="60"/>
      <c r="H368" s="60"/>
      <c r="I368" s="60"/>
      <c r="J368" s="60"/>
      <c r="K368" s="60"/>
      <c r="L368" s="60"/>
      <c r="M368" s="60"/>
      <c r="N368" s="60"/>
    </row>
    <row r="369" spans="6:14" ht="15.75" x14ac:dyDescent="0.25">
      <c r="F369" s="59"/>
      <c r="G369" s="60"/>
      <c r="H369" s="60"/>
      <c r="I369" s="60"/>
      <c r="J369" s="60"/>
      <c r="K369" s="60"/>
      <c r="L369" s="60"/>
      <c r="M369" s="60"/>
      <c r="N369" s="60"/>
    </row>
    <row r="370" spans="6:14" ht="15.75" x14ac:dyDescent="0.25">
      <c r="F370" s="59"/>
      <c r="G370" s="60"/>
      <c r="H370" s="60"/>
      <c r="I370" s="60"/>
      <c r="J370" s="60"/>
      <c r="K370" s="60"/>
      <c r="L370" s="60"/>
      <c r="M370" s="60"/>
      <c r="N370" s="60"/>
    </row>
    <row r="371" spans="6:14" ht="15.75" x14ac:dyDescent="0.25">
      <c r="F371" s="59"/>
      <c r="G371" s="60"/>
      <c r="H371" s="60"/>
      <c r="I371" s="60"/>
      <c r="J371" s="60"/>
      <c r="K371" s="60"/>
      <c r="L371" s="60"/>
      <c r="M371" s="60"/>
      <c r="N371" s="60"/>
    </row>
    <row r="372" spans="6:14" ht="15.75" x14ac:dyDescent="0.25">
      <c r="F372" s="59"/>
      <c r="G372" s="60"/>
      <c r="H372" s="60"/>
      <c r="I372" s="60"/>
      <c r="J372" s="60"/>
      <c r="K372" s="60"/>
      <c r="L372" s="60"/>
      <c r="M372" s="60"/>
      <c r="N372" s="60"/>
    </row>
    <row r="373" spans="6:14" ht="15.75" x14ac:dyDescent="0.25">
      <c r="F373" s="59"/>
      <c r="G373" s="60"/>
      <c r="H373" s="60"/>
      <c r="I373" s="60"/>
      <c r="J373" s="60"/>
      <c r="K373" s="60"/>
      <c r="L373" s="60"/>
      <c r="M373" s="60"/>
      <c r="N373" s="60"/>
    </row>
    <row r="374" spans="6:14" ht="15.75" x14ac:dyDescent="0.25">
      <c r="F374" s="59"/>
      <c r="G374" s="60"/>
      <c r="H374" s="60"/>
      <c r="I374" s="60"/>
      <c r="J374" s="60"/>
      <c r="K374" s="60"/>
      <c r="L374" s="60"/>
      <c r="M374" s="60"/>
      <c r="N374" s="60"/>
    </row>
    <row r="375" spans="6:14" ht="15.75" x14ac:dyDescent="0.25">
      <c r="F375" s="59"/>
      <c r="G375" s="60"/>
      <c r="H375" s="60"/>
      <c r="I375" s="60"/>
      <c r="J375" s="60"/>
      <c r="K375" s="60"/>
      <c r="L375" s="60"/>
      <c r="M375" s="60"/>
      <c r="N375" s="60"/>
    </row>
    <row r="376" spans="6:14" ht="15.75" x14ac:dyDescent="0.25">
      <c r="F376" s="59"/>
      <c r="G376" s="60"/>
      <c r="H376" s="60"/>
      <c r="I376" s="60"/>
      <c r="J376" s="60"/>
      <c r="K376" s="60"/>
      <c r="L376" s="60"/>
      <c r="M376" s="60"/>
      <c r="N376" s="60"/>
    </row>
    <row r="377" spans="6:14" ht="15.75" x14ac:dyDescent="0.25">
      <c r="F377" s="59"/>
      <c r="G377" s="60"/>
      <c r="H377" s="60"/>
      <c r="I377" s="60"/>
      <c r="J377" s="60"/>
      <c r="K377" s="60"/>
      <c r="L377" s="60"/>
      <c r="M377" s="60"/>
      <c r="N377" s="60"/>
    </row>
    <row r="378" spans="6:14" ht="15.75" x14ac:dyDescent="0.25">
      <c r="F378" s="59"/>
      <c r="G378" s="60"/>
      <c r="H378" s="60"/>
      <c r="I378" s="60"/>
      <c r="J378" s="60"/>
      <c r="K378" s="60"/>
      <c r="L378" s="60"/>
      <c r="M378" s="60"/>
      <c r="N378" s="60"/>
    </row>
    <row r="379" spans="6:14" ht="15.75" x14ac:dyDescent="0.25">
      <c r="F379" s="59"/>
      <c r="G379" s="60"/>
      <c r="H379" s="60"/>
      <c r="I379" s="60"/>
      <c r="J379" s="60"/>
      <c r="K379" s="60"/>
      <c r="L379" s="60"/>
      <c r="M379" s="60"/>
      <c r="N379" s="60"/>
    </row>
    <row r="380" spans="6:14" ht="15.75" x14ac:dyDescent="0.25">
      <c r="F380" s="59"/>
      <c r="G380" s="60"/>
      <c r="H380" s="60"/>
      <c r="I380" s="60"/>
      <c r="J380" s="60"/>
      <c r="K380" s="60"/>
      <c r="L380" s="60"/>
      <c r="M380" s="60"/>
      <c r="N380" s="60"/>
    </row>
    <row r="381" spans="6:14" ht="15.75" x14ac:dyDescent="0.25">
      <c r="F381" s="59"/>
      <c r="G381" s="60"/>
      <c r="H381" s="60"/>
      <c r="I381" s="60"/>
      <c r="J381" s="60"/>
      <c r="K381" s="60"/>
      <c r="L381" s="60"/>
      <c r="M381" s="60"/>
      <c r="N381" s="60"/>
    </row>
    <row r="382" spans="6:14" ht="15.75" x14ac:dyDescent="0.25">
      <c r="F382" s="59"/>
      <c r="G382" s="60"/>
      <c r="H382" s="60"/>
      <c r="I382" s="60"/>
      <c r="J382" s="60"/>
      <c r="K382" s="60"/>
      <c r="L382" s="60"/>
      <c r="M382" s="60"/>
      <c r="N382" s="60"/>
    </row>
    <row r="383" spans="6:14" ht="15.75" x14ac:dyDescent="0.25">
      <c r="F383" s="59"/>
      <c r="G383" s="60"/>
      <c r="H383" s="60"/>
      <c r="I383" s="60"/>
      <c r="J383" s="60"/>
      <c r="K383" s="60"/>
      <c r="L383" s="60"/>
      <c r="M383" s="60"/>
      <c r="N383" s="60"/>
    </row>
    <row r="384" spans="6:14" ht="15.75" x14ac:dyDescent="0.25">
      <c r="F384" s="59"/>
      <c r="G384" s="60"/>
      <c r="H384" s="60"/>
      <c r="I384" s="60"/>
      <c r="J384" s="60"/>
      <c r="K384" s="60"/>
      <c r="L384" s="60"/>
      <c r="M384" s="60"/>
      <c r="N384" s="60"/>
    </row>
    <row r="385" spans="6:14" ht="15.75" x14ac:dyDescent="0.25">
      <c r="F385" s="59"/>
      <c r="G385" s="60"/>
      <c r="H385" s="60"/>
      <c r="I385" s="60"/>
      <c r="J385" s="60"/>
      <c r="K385" s="60"/>
      <c r="L385" s="60"/>
      <c r="M385" s="60"/>
      <c r="N385" s="60"/>
    </row>
    <row r="386" spans="6:14" ht="15.75" x14ac:dyDescent="0.25">
      <c r="F386" s="59"/>
      <c r="G386" s="60"/>
      <c r="H386" s="60"/>
      <c r="I386" s="60"/>
      <c r="J386" s="60"/>
      <c r="K386" s="60"/>
      <c r="L386" s="60"/>
      <c r="M386" s="60"/>
      <c r="N386" s="60"/>
    </row>
    <row r="387" spans="6:14" ht="15.75" x14ac:dyDescent="0.25">
      <c r="F387" s="59"/>
      <c r="G387" s="60"/>
      <c r="H387" s="60"/>
      <c r="I387" s="60"/>
      <c r="J387" s="60"/>
      <c r="K387" s="60"/>
      <c r="L387" s="60"/>
      <c r="M387" s="60"/>
      <c r="N387" s="60"/>
    </row>
    <row r="388" spans="6:14" ht="15.75" x14ac:dyDescent="0.25">
      <c r="F388" s="59"/>
      <c r="G388" s="60"/>
      <c r="H388" s="60"/>
      <c r="I388" s="60"/>
      <c r="J388" s="60"/>
      <c r="K388" s="60"/>
      <c r="L388" s="60"/>
      <c r="M388" s="60"/>
      <c r="N388" s="60"/>
    </row>
    <row r="389" spans="6:14" ht="15.75" x14ac:dyDescent="0.25">
      <c r="F389" s="59"/>
      <c r="G389" s="60"/>
      <c r="H389" s="60"/>
      <c r="I389" s="60"/>
      <c r="J389" s="60"/>
      <c r="K389" s="60"/>
      <c r="L389" s="60"/>
      <c r="M389" s="60"/>
      <c r="N389" s="60"/>
    </row>
    <row r="390" spans="6:14" ht="15.75" x14ac:dyDescent="0.25">
      <c r="F390" s="59"/>
      <c r="G390" s="60"/>
      <c r="H390" s="60"/>
      <c r="I390" s="60"/>
      <c r="J390" s="60"/>
      <c r="K390" s="60"/>
      <c r="L390" s="60"/>
      <c r="M390" s="60"/>
      <c r="N390" s="60"/>
    </row>
    <row r="391" spans="6:14" ht="15.75" x14ac:dyDescent="0.25">
      <c r="F391" s="59"/>
      <c r="G391" s="60"/>
      <c r="H391" s="60"/>
      <c r="I391" s="60"/>
      <c r="J391" s="60"/>
      <c r="K391" s="60"/>
      <c r="L391" s="60"/>
      <c r="M391" s="60"/>
      <c r="N391" s="60"/>
    </row>
    <row r="392" spans="6:14" ht="15.75" x14ac:dyDescent="0.25">
      <c r="F392" s="59"/>
      <c r="G392" s="60"/>
      <c r="H392" s="60"/>
      <c r="I392" s="60"/>
      <c r="J392" s="60"/>
      <c r="K392" s="60"/>
      <c r="L392" s="60"/>
      <c r="M392" s="60"/>
      <c r="N392" s="60"/>
    </row>
    <row r="393" spans="6:14" ht="15.75" x14ac:dyDescent="0.25">
      <c r="F393" s="59"/>
      <c r="G393" s="60"/>
      <c r="H393" s="60"/>
      <c r="I393" s="60"/>
      <c r="J393" s="60"/>
      <c r="K393" s="60"/>
      <c r="L393" s="60"/>
      <c r="M393" s="60"/>
      <c r="N393" s="60"/>
    </row>
    <row r="394" spans="6:14" ht="15.75" x14ac:dyDescent="0.25">
      <c r="F394" s="59"/>
      <c r="G394" s="60"/>
      <c r="H394" s="60"/>
      <c r="I394" s="60"/>
      <c r="J394" s="60"/>
      <c r="K394" s="60"/>
      <c r="L394" s="60"/>
      <c r="M394" s="60"/>
      <c r="N394" s="60"/>
    </row>
    <row r="395" spans="6:14" ht="15.75" x14ac:dyDescent="0.25">
      <c r="F395" s="59"/>
      <c r="G395" s="60"/>
      <c r="H395" s="60"/>
      <c r="I395" s="60"/>
      <c r="J395" s="60"/>
      <c r="K395" s="60"/>
      <c r="L395" s="60"/>
      <c r="M395" s="60"/>
      <c r="N395" s="60"/>
    </row>
    <row r="396" spans="6:14" ht="15.75" x14ac:dyDescent="0.25">
      <c r="F396" s="59"/>
      <c r="G396" s="60"/>
      <c r="H396" s="60"/>
      <c r="I396" s="60"/>
      <c r="J396" s="60"/>
      <c r="K396" s="60"/>
      <c r="L396" s="60"/>
      <c r="M396" s="60"/>
      <c r="N396" s="60"/>
    </row>
    <row r="397" spans="6:14" ht="15.75" x14ac:dyDescent="0.25">
      <c r="F397" s="59"/>
      <c r="G397" s="60"/>
      <c r="H397" s="60"/>
      <c r="I397" s="60"/>
      <c r="J397" s="60"/>
      <c r="K397" s="60"/>
      <c r="L397" s="60"/>
      <c r="M397" s="60"/>
      <c r="N397" s="60"/>
    </row>
    <row r="398" spans="6:14" ht="15.75" x14ac:dyDescent="0.25">
      <c r="F398" s="59"/>
      <c r="G398" s="60"/>
      <c r="H398" s="60"/>
      <c r="I398" s="60"/>
      <c r="J398" s="60"/>
      <c r="K398" s="60"/>
      <c r="L398" s="60"/>
      <c r="M398" s="60"/>
      <c r="N398" s="60"/>
    </row>
    <row r="399" spans="6:14" ht="15.75" x14ac:dyDescent="0.25">
      <c r="F399" s="59"/>
      <c r="G399" s="60"/>
      <c r="H399" s="60"/>
      <c r="I399" s="60"/>
      <c r="J399" s="60"/>
      <c r="K399" s="60"/>
      <c r="L399" s="60"/>
      <c r="M399" s="60"/>
      <c r="N399" s="60"/>
    </row>
    <row r="400" spans="6:14" ht="15.75" x14ac:dyDescent="0.25">
      <c r="F400" s="59"/>
      <c r="G400" s="60"/>
      <c r="H400" s="60"/>
      <c r="I400" s="60"/>
      <c r="J400" s="60"/>
      <c r="K400" s="60"/>
      <c r="L400" s="60"/>
      <c r="M400" s="60"/>
      <c r="N400" s="60"/>
    </row>
    <row r="401" spans="6:14" ht="15.75" x14ac:dyDescent="0.25">
      <c r="F401" s="59"/>
      <c r="G401" s="60"/>
      <c r="H401" s="60"/>
      <c r="I401" s="60"/>
      <c r="J401" s="60"/>
      <c r="K401" s="60"/>
      <c r="L401" s="60"/>
      <c r="M401" s="60"/>
      <c r="N401" s="60"/>
    </row>
    <row r="402" spans="6:14" ht="15.75" x14ac:dyDescent="0.25">
      <c r="F402" s="59"/>
      <c r="G402" s="60"/>
      <c r="H402" s="60"/>
      <c r="I402" s="60"/>
      <c r="J402" s="60"/>
      <c r="K402" s="60"/>
      <c r="L402" s="60"/>
      <c r="M402" s="60"/>
      <c r="N402" s="60"/>
    </row>
    <row r="403" spans="6:14" ht="15.75" x14ac:dyDescent="0.25">
      <c r="F403" s="59"/>
      <c r="G403" s="60"/>
      <c r="H403" s="60"/>
      <c r="I403" s="60"/>
      <c r="J403" s="60"/>
      <c r="K403" s="60"/>
      <c r="L403" s="60"/>
      <c r="M403" s="60"/>
      <c r="N403" s="60"/>
    </row>
    <row r="404" spans="6:14" ht="15.75" x14ac:dyDescent="0.25">
      <c r="F404" s="59"/>
      <c r="G404" s="60"/>
      <c r="H404" s="60"/>
      <c r="I404" s="60"/>
      <c r="J404" s="60"/>
      <c r="K404" s="60"/>
      <c r="L404" s="60"/>
      <c r="M404" s="60"/>
      <c r="N404" s="60"/>
    </row>
    <row r="405" spans="6:14" ht="15.75" x14ac:dyDescent="0.25">
      <c r="F405" s="59"/>
      <c r="G405" s="60"/>
      <c r="H405" s="60"/>
      <c r="I405" s="60"/>
      <c r="J405" s="60"/>
      <c r="K405" s="60"/>
      <c r="L405" s="60"/>
      <c r="M405" s="60"/>
      <c r="N405" s="60"/>
    </row>
    <row r="406" spans="6:14" ht="15.75" x14ac:dyDescent="0.25">
      <c r="F406" s="59"/>
      <c r="G406" s="60"/>
      <c r="H406" s="60"/>
      <c r="I406" s="60"/>
      <c r="J406" s="60"/>
      <c r="K406" s="60"/>
      <c r="L406" s="60"/>
      <c r="M406" s="60"/>
      <c r="N406" s="60"/>
    </row>
    <row r="407" spans="6:14" ht="15.75" x14ac:dyDescent="0.25">
      <c r="F407" s="59"/>
      <c r="G407" s="60"/>
      <c r="H407" s="60"/>
      <c r="I407" s="60"/>
      <c r="J407" s="60"/>
      <c r="K407" s="60"/>
      <c r="L407" s="60"/>
      <c r="M407" s="60"/>
      <c r="N407" s="60"/>
    </row>
    <row r="408" spans="6:14" ht="15.75" x14ac:dyDescent="0.25">
      <c r="F408" s="59"/>
      <c r="G408" s="60"/>
      <c r="H408" s="60"/>
      <c r="I408" s="60"/>
      <c r="J408" s="60"/>
      <c r="K408" s="60"/>
      <c r="L408" s="60"/>
      <c r="M408" s="60"/>
      <c r="N408" s="60"/>
    </row>
    <row r="409" spans="6:14" ht="15.75" x14ac:dyDescent="0.25">
      <c r="F409" s="59"/>
      <c r="G409" s="60"/>
      <c r="H409" s="60"/>
      <c r="I409" s="60"/>
      <c r="J409" s="60"/>
      <c r="K409" s="60"/>
      <c r="L409" s="60"/>
      <c r="M409" s="60"/>
      <c r="N409" s="60"/>
    </row>
    <row r="410" spans="6:14" ht="15.75" x14ac:dyDescent="0.25">
      <c r="F410" s="59"/>
      <c r="G410" s="60"/>
      <c r="H410" s="60"/>
      <c r="I410" s="60"/>
      <c r="J410" s="60"/>
      <c r="K410" s="60"/>
      <c r="L410" s="60"/>
      <c r="M410" s="60"/>
      <c r="N410" s="60"/>
    </row>
    <row r="411" spans="6:14" ht="15.75" x14ac:dyDescent="0.25">
      <c r="F411" s="59"/>
      <c r="G411" s="60"/>
      <c r="H411" s="60"/>
      <c r="I411" s="60"/>
      <c r="J411" s="60"/>
      <c r="K411" s="60"/>
      <c r="L411" s="60"/>
      <c r="M411" s="60"/>
      <c r="N411" s="60"/>
    </row>
    <row r="412" spans="6:14" ht="15.75" x14ac:dyDescent="0.25">
      <c r="F412" s="59"/>
      <c r="G412" s="60"/>
      <c r="H412" s="60"/>
      <c r="I412" s="60"/>
      <c r="J412" s="60"/>
      <c r="K412" s="60"/>
      <c r="L412" s="60"/>
      <c r="M412" s="60"/>
      <c r="N412" s="60"/>
    </row>
    <row r="413" spans="6:14" ht="15.75" x14ac:dyDescent="0.25">
      <c r="F413" s="59"/>
      <c r="G413" s="60"/>
      <c r="H413" s="60"/>
      <c r="I413" s="60"/>
      <c r="J413" s="60"/>
      <c r="K413" s="60"/>
      <c r="L413" s="60"/>
      <c r="M413" s="60"/>
      <c r="N413" s="60"/>
    </row>
    <row r="414" spans="6:14" ht="15.75" x14ac:dyDescent="0.25">
      <c r="F414" s="59"/>
      <c r="G414" s="60"/>
      <c r="H414" s="60"/>
      <c r="I414" s="60"/>
      <c r="J414" s="60"/>
      <c r="K414" s="60"/>
      <c r="L414" s="60"/>
      <c r="M414" s="60"/>
      <c r="N414" s="60"/>
    </row>
    <row r="415" spans="6:14" ht="15.75" x14ac:dyDescent="0.25">
      <c r="F415" s="59"/>
      <c r="G415" s="60"/>
      <c r="H415" s="60"/>
      <c r="I415" s="60"/>
      <c r="J415" s="60"/>
      <c r="K415" s="60"/>
      <c r="L415" s="60"/>
      <c r="M415" s="60"/>
      <c r="N415" s="60"/>
    </row>
    <row r="416" spans="6:14" ht="15.75" x14ac:dyDescent="0.25">
      <c r="F416" s="59"/>
      <c r="G416" s="60"/>
      <c r="H416" s="60"/>
      <c r="I416" s="60"/>
      <c r="J416" s="60"/>
      <c r="K416" s="60"/>
      <c r="L416" s="60"/>
      <c r="M416" s="60"/>
      <c r="N416" s="60"/>
    </row>
    <row r="417" spans="6:14" ht="15.75" x14ac:dyDescent="0.25">
      <c r="F417" s="59"/>
      <c r="G417" s="60"/>
      <c r="H417" s="60"/>
      <c r="I417" s="60"/>
      <c r="J417" s="60"/>
      <c r="K417" s="60"/>
      <c r="L417" s="60"/>
      <c r="M417" s="60"/>
      <c r="N417" s="60"/>
    </row>
    <row r="418" spans="6:14" ht="15.75" x14ac:dyDescent="0.25">
      <c r="F418" s="59"/>
      <c r="G418" s="60"/>
      <c r="H418" s="60"/>
      <c r="I418" s="60"/>
      <c r="J418" s="60"/>
      <c r="K418" s="60"/>
      <c r="L418" s="60"/>
      <c r="M418" s="60"/>
      <c r="N418" s="60"/>
    </row>
    <row r="419" spans="6:14" ht="15.75" x14ac:dyDescent="0.25">
      <c r="F419" s="59"/>
      <c r="G419" s="60"/>
      <c r="H419" s="60"/>
      <c r="I419" s="60"/>
      <c r="J419" s="60"/>
      <c r="K419" s="60"/>
      <c r="L419" s="60"/>
      <c r="M419" s="60"/>
      <c r="N419" s="60"/>
    </row>
    <row r="420" spans="6:14" ht="15.75" x14ac:dyDescent="0.25">
      <c r="F420" s="59"/>
      <c r="G420" s="60"/>
      <c r="H420" s="60"/>
      <c r="I420" s="60"/>
      <c r="J420" s="60"/>
      <c r="K420" s="60"/>
      <c r="L420" s="60"/>
      <c r="M420" s="60"/>
      <c r="N420" s="60"/>
    </row>
    <row r="421" spans="6:14" ht="15.75" x14ac:dyDescent="0.25">
      <c r="F421" s="59"/>
      <c r="G421" s="60"/>
      <c r="H421" s="60"/>
      <c r="I421" s="60"/>
      <c r="J421" s="60"/>
      <c r="K421" s="60"/>
      <c r="L421" s="60"/>
      <c r="M421" s="60"/>
      <c r="N421" s="60"/>
    </row>
    <row r="422" spans="6:14" ht="15.75" x14ac:dyDescent="0.25">
      <c r="F422" s="59"/>
      <c r="G422" s="60"/>
      <c r="H422" s="60"/>
      <c r="I422" s="60"/>
      <c r="J422" s="60"/>
      <c r="K422" s="60"/>
      <c r="L422" s="60"/>
      <c r="M422" s="60"/>
      <c r="N422" s="60"/>
    </row>
    <row r="423" spans="6:14" ht="15.75" x14ac:dyDescent="0.25">
      <c r="F423" s="59"/>
      <c r="G423" s="60"/>
      <c r="H423" s="60"/>
      <c r="I423" s="60"/>
      <c r="J423" s="60"/>
      <c r="K423" s="60"/>
      <c r="L423" s="60"/>
      <c r="M423" s="60"/>
      <c r="N423" s="60"/>
    </row>
    <row r="424" spans="6:14" ht="15.75" x14ac:dyDescent="0.25">
      <c r="F424" s="59"/>
      <c r="G424" s="60"/>
      <c r="H424" s="60"/>
      <c r="I424" s="60"/>
      <c r="J424" s="60"/>
      <c r="K424" s="60"/>
      <c r="L424" s="60"/>
      <c r="M424" s="60"/>
      <c r="N424" s="60"/>
    </row>
    <row r="425" spans="6:14" ht="15.75" x14ac:dyDescent="0.25">
      <c r="F425" s="59"/>
      <c r="G425" s="60"/>
      <c r="H425" s="60"/>
      <c r="I425" s="60"/>
      <c r="J425" s="60"/>
      <c r="K425" s="60"/>
      <c r="L425" s="60"/>
      <c r="M425" s="60"/>
      <c r="N425" s="60"/>
    </row>
    <row r="426" spans="6:14" ht="15.75" x14ac:dyDescent="0.25">
      <c r="F426" s="59"/>
      <c r="G426" s="60"/>
      <c r="H426" s="60"/>
      <c r="I426" s="60"/>
      <c r="J426" s="60"/>
      <c r="K426" s="60"/>
      <c r="L426" s="60"/>
      <c r="M426" s="60"/>
      <c r="N426" s="60"/>
    </row>
    <row r="427" spans="6:14" ht="15.75" x14ac:dyDescent="0.25">
      <c r="F427" s="59"/>
      <c r="G427" s="60"/>
      <c r="H427" s="60"/>
      <c r="I427" s="60"/>
      <c r="J427" s="60"/>
      <c r="K427" s="60"/>
      <c r="L427" s="60"/>
      <c r="M427" s="60"/>
      <c r="N427" s="60"/>
    </row>
    <row r="428" spans="6:14" ht="15.75" x14ac:dyDescent="0.25">
      <c r="F428" s="59"/>
      <c r="G428" s="60"/>
      <c r="H428" s="60"/>
      <c r="I428" s="60"/>
      <c r="J428" s="60"/>
      <c r="K428" s="60"/>
      <c r="L428" s="60"/>
      <c r="M428" s="60"/>
      <c r="N428" s="60"/>
    </row>
    <row r="429" spans="6:14" ht="15.75" x14ac:dyDescent="0.25">
      <c r="F429" s="59"/>
      <c r="G429" s="60"/>
      <c r="H429" s="60"/>
      <c r="I429" s="60"/>
      <c r="J429" s="60"/>
      <c r="K429" s="60"/>
      <c r="L429" s="60"/>
      <c r="M429" s="60"/>
      <c r="N429" s="60"/>
    </row>
    <row r="430" spans="6:14" ht="15.75" x14ac:dyDescent="0.25">
      <c r="F430" s="59"/>
      <c r="G430" s="60"/>
      <c r="H430" s="60"/>
      <c r="I430" s="60"/>
      <c r="J430" s="60"/>
      <c r="K430" s="60"/>
      <c r="L430" s="60"/>
      <c r="M430" s="60"/>
      <c r="N430" s="60"/>
    </row>
    <row r="431" spans="6:14" ht="15.75" x14ac:dyDescent="0.25">
      <c r="F431" s="59"/>
      <c r="G431" s="60"/>
      <c r="H431" s="60"/>
      <c r="I431" s="60"/>
      <c r="J431" s="60"/>
      <c r="K431" s="60"/>
      <c r="L431" s="60"/>
      <c r="M431" s="60"/>
      <c r="N431" s="60"/>
    </row>
    <row r="432" spans="6:14" ht="15.75" x14ac:dyDescent="0.25">
      <c r="F432" s="59"/>
      <c r="G432" s="60"/>
      <c r="H432" s="60"/>
      <c r="I432" s="60"/>
      <c r="J432" s="60"/>
      <c r="K432" s="60"/>
      <c r="L432" s="60"/>
      <c r="M432" s="60"/>
      <c r="N432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58"/>
  <sheetViews>
    <sheetView topLeftCell="A4" workbookViewId="0">
      <selection activeCell="D27" sqref="D27:K27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2" spans="2:11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</row>
    <row r="3" spans="2:11" ht="15.75" x14ac:dyDescent="0.25">
      <c r="B3" s="1"/>
      <c r="C3" s="5"/>
      <c r="D3" s="2"/>
      <c r="E3" s="2"/>
      <c r="F3" s="2"/>
      <c r="G3" s="2" t="s">
        <v>1</v>
      </c>
      <c r="H3" s="2"/>
      <c r="I3" s="2"/>
      <c r="J3" s="2"/>
      <c r="K3" s="2"/>
    </row>
    <row r="4" spans="2:11" ht="15.75" x14ac:dyDescent="0.25">
      <c r="B4" s="6" t="s">
        <v>50</v>
      </c>
      <c r="C4" s="3"/>
      <c r="D4" s="3"/>
      <c r="E4" s="7"/>
      <c r="F4" s="3"/>
      <c r="G4" s="7"/>
      <c r="H4" s="7"/>
      <c r="I4" s="7"/>
      <c r="J4" s="7"/>
      <c r="K4" s="7"/>
    </row>
    <row r="5" spans="2:11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9"/>
    </row>
    <row r="6" spans="2:11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63" t="s">
        <v>11</v>
      </c>
    </row>
    <row r="7" spans="2:11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64"/>
    </row>
    <row r="8" spans="2:11" ht="15.75" x14ac:dyDescent="0.25">
      <c r="B8" s="20" t="s">
        <v>13</v>
      </c>
      <c r="C8" s="16">
        <f>D8+E8+F8+G8+H8+I8+J8+K8</f>
        <v>167519996</v>
      </c>
      <c r="D8" s="17">
        <v>2157490</v>
      </c>
      <c r="E8" s="17">
        <v>21607683</v>
      </c>
      <c r="F8" s="17">
        <v>11454</v>
      </c>
      <c r="G8" s="17">
        <v>66657403</v>
      </c>
      <c r="H8" s="17">
        <v>362888</v>
      </c>
      <c r="I8" s="17">
        <v>16761479</v>
      </c>
      <c r="J8" s="17">
        <v>45565418</v>
      </c>
      <c r="K8" s="64">
        <v>14396181</v>
      </c>
    </row>
    <row r="9" spans="2:11" ht="15.75" x14ac:dyDescent="0.25">
      <c r="B9" s="20"/>
      <c r="C9" s="16"/>
      <c r="D9" s="17"/>
      <c r="E9" s="17"/>
      <c r="F9" s="17"/>
      <c r="G9" s="17"/>
      <c r="H9" s="17"/>
      <c r="I9" s="17"/>
      <c r="J9" s="17"/>
      <c r="K9" s="64"/>
    </row>
    <row r="10" spans="2:11" ht="15.75" x14ac:dyDescent="0.25">
      <c r="B10" s="20" t="s">
        <v>14</v>
      </c>
      <c r="C10" s="16">
        <f>D10+E10+F10+G10+H10+I10+J10+K10</f>
        <v>8610870</v>
      </c>
      <c r="D10" s="17">
        <v>110806</v>
      </c>
      <c r="E10" s="17">
        <v>1141199</v>
      </c>
      <c r="F10" s="17">
        <v>5581</v>
      </c>
      <c r="G10" s="17">
        <v>2496125</v>
      </c>
      <c r="H10" s="17">
        <v>4857159</v>
      </c>
      <c r="I10" s="17">
        <v>0</v>
      </c>
      <c r="J10" s="17">
        <v>0</v>
      </c>
      <c r="K10" s="64">
        <v>0</v>
      </c>
    </row>
    <row r="11" spans="2:11" ht="15.75" x14ac:dyDescent="0.25">
      <c r="B11" s="20"/>
      <c r="C11" s="16"/>
      <c r="D11" s="17"/>
      <c r="E11" s="17"/>
      <c r="F11" s="17"/>
      <c r="G11" s="17"/>
      <c r="H11" s="17"/>
      <c r="I11" s="17"/>
      <c r="J11" s="17"/>
      <c r="K11" s="64"/>
    </row>
    <row r="12" spans="2:11" ht="15.75" x14ac:dyDescent="0.25">
      <c r="B12" s="20" t="s">
        <v>15</v>
      </c>
      <c r="C12" s="16">
        <f>D12+E12+F12+G12+H12+I12+J12+K12</f>
        <v>79043654</v>
      </c>
      <c r="D12" s="17">
        <v>1164711</v>
      </c>
      <c r="E12" s="17">
        <v>11171623</v>
      </c>
      <c r="F12" s="17">
        <v>0</v>
      </c>
      <c r="G12" s="17">
        <v>13797685</v>
      </c>
      <c r="H12" s="17">
        <v>0</v>
      </c>
      <c r="I12" s="17">
        <v>3730031</v>
      </c>
      <c r="J12" s="17">
        <v>42223663</v>
      </c>
      <c r="K12" s="64">
        <v>6955941</v>
      </c>
    </row>
    <row r="13" spans="2:11" ht="15.75" x14ac:dyDescent="0.25">
      <c r="B13" s="20" t="s">
        <v>16</v>
      </c>
      <c r="C13" s="16">
        <f>D13+E13+F13+G13+H13+I13+J13+K13</f>
        <v>17207521</v>
      </c>
      <c r="D13" s="17">
        <v>0</v>
      </c>
      <c r="E13" s="17">
        <v>0</v>
      </c>
      <c r="F13" s="17">
        <v>0</v>
      </c>
      <c r="G13" s="17">
        <v>16138696</v>
      </c>
      <c r="H13" s="17">
        <v>1068825</v>
      </c>
      <c r="I13" s="17">
        <v>0</v>
      </c>
      <c r="J13" s="17">
        <v>0</v>
      </c>
      <c r="K13" s="64">
        <v>0</v>
      </c>
    </row>
    <row r="14" spans="2:11" ht="15.75" x14ac:dyDescent="0.25">
      <c r="B14" s="20"/>
      <c r="C14" s="16"/>
      <c r="D14" s="17"/>
      <c r="E14" s="17"/>
      <c r="F14" s="17"/>
      <c r="G14" s="17"/>
      <c r="H14" s="17"/>
      <c r="I14" s="17"/>
      <c r="J14" s="17"/>
      <c r="K14" s="64"/>
    </row>
    <row r="15" spans="2:11" ht="15.75" x14ac:dyDescent="0.25">
      <c r="B15" s="20" t="s">
        <v>17</v>
      </c>
      <c r="C15" s="16">
        <f>D15+E15+F15+G15+H15+I15+J15+K15</f>
        <v>5886957</v>
      </c>
      <c r="D15" s="17">
        <v>29008</v>
      </c>
      <c r="E15" s="17">
        <v>742815</v>
      </c>
      <c r="F15" s="17">
        <v>0</v>
      </c>
      <c r="G15" s="17">
        <v>2110536</v>
      </c>
      <c r="H15" s="17">
        <v>3004598</v>
      </c>
      <c r="I15" s="17">
        <v>0</v>
      </c>
      <c r="J15" s="17">
        <v>0</v>
      </c>
      <c r="K15" s="64">
        <v>0</v>
      </c>
    </row>
    <row r="16" spans="2:11" ht="15.75" x14ac:dyDescent="0.25">
      <c r="B16" s="20"/>
      <c r="C16" s="16"/>
      <c r="D16" s="17"/>
      <c r="E16" s="17"/>
      <c r="F16" s="17"/>
      <c r="G16" s="17"/>
      <c r="H16" s="17"/>
      <c r="I16" s="17"/>
      <c r="J16" s="17"/>
      <c r="K16" s="64"/>
    </row>
    <row r="17" spans="2:11" ht="15.75" x14ac:dyDescent="0.25">
      <c r="B17" s="20" t="s">
        <v>18</v>
      </c>
      <c r="C17" s="16">
        <f>D17+E17+F17+G17+H17+I17+J17+K17</f>
        <v>13537483</v>
      </c>
      <c r="D17" s="17">
        <v>105970</v>
      </c>
      <c r="E17" s="17">
        <v>1108758</v>
      </c>
      <c r="F17" s="17">
        <v>0</v>
      </c>
      <c r="G17" s="17">
        <v>5673568</v>
      </c>
      <c r="H17" s="17">
        <v>6541445</v>
      </c>
      <c r="I17" s="17">
        <v>107742</v>
      </c>
      <c r="J17" s="17">
        <v>0</v>
      </c>
      <c r="K17" s="64">
        <v>0</v>
      </c>
    </row>
    <row r="18" spans="2:11" ht="15.75" x14ac:dyDescent="0.25">
      <c r="B18" s="20"/>
      <c r="C18" s="16"/>
      <c r="D18" s="17"/>
      <c r="E18" s="17"/>
      <c r="F18" s="17"/>
      <c r="G18" s="17"/>
      <c r="H18" s="17"/>
      <c r="I18" s="17"/>
      <c r="J18" s="17"/>
      <c r="K18" s="64"/>
    </row>
    <row r="19" spans="2:11" ht="15.75" x14ac:dyDescent="0.25">
      <c r="B19" s="20" t="s">
        <v>19</v>
      </c>
      <c r="C19" s="16">
        <f>D19+E19+F19+G19+H19+I19+J19+K19</f>
        <v>27548635</v>
      </c>
      <c r="D19" s="17">
        <v>207994</v>
      </c>
      <c r="E19" s="17">
        <v>2792753</v>
      </c>
      <c r="F19" s="17">
        <v>2995</v>
      </c>
      <c r="G19" s="17">
        <v>8918007</v>
      </c>
      <c r="H19" s="17">
        <v>578258</v>
      </c>
      <c r="I19" s="17">
        <v>800108</v>
      </c>
      <c r="J19" s="17">
        <v>10465079</v>
      </c>
      <c r="K19" s="64">
        <v>3783441</v>
      </c>
    </row>
    <row r="20" spans="2:11" ht="15.75" x14ac:dyDescent="0.25">
      <c r="B20" s="20"/>
      <c r="C20" s="16"/>
      <c r="D20" s="17"/>
      <c r="E20" s="17"/>
      <c r="F20" s="17"/>
      <c r="G20" s="17"/>
      <c r="H20" s="17"/>
      <c r="I20" s="17"/>
      <c r="J20" s="17"/>
      <c r="K20" s="64"/>
    </row>
    <row r="21" spans="2:11" ht="15.75" x14ac:dyDescent="0.25">
      <c r="B21" s="20" t="s">
        <v>20</v>
      </c>
      <c r="C21" s="16">
        <f>D21+E21+F21+G21+H21+I21+J21+K21</f>
        <v>20821520</v>
      </c>
      <c r="D21" s="17">
        <v>88220</v>
      </c>
      <c r="E21" s="17">
        <v>2293775</v>
      </c>
      <c r="F21" s="17">
        <v>0</v>
      </c>
      <c r="G21" s="17">
        <v>9185987</v>
      </c>
      <c r="H21" s="17">
        <v>299130</v>
      </c>
      <c r="I21" s="17">
        <v>884820</v>
      </c>
      <c r="J21" s="17">
        <v>8069588</v>
      </c>
      <c r="K21" s="64">
        <v>0</v>
      </c>
    </row>
    <row r="22" spans="2:11" ht="15.75" x14ac:dyDescent="0.25">
      <c r="B22" s="20"/>
      <c r="C22" s="16"/>
      <c r="D22" s="17"/>
      <c r="E22" s="17"/>
      <c r="F22" s="17"/>
      <c r="G22" s="17"/>
      <c r="H22" s="17"/>
      <c r="I22" s="17"/>
      <c r="J22" s="17"/>
      <c r="K22" s="64"/>
    </row>
    <row r="23" spans="2:11" ht="15.75" x14ac:dyDescent="0.25">
      <c r="B23" s="20" t="s">
        <v>21</v>
      </c>
      <c r="C23" s="16">
        <f>D23+E23+F23+G23+H23+I23+J23+K23</f>
        <v>4345929</v>
      </c>
      <c r="D23" s="17">
        <v>35270</v>
      </c>
      <c r="E23" s="17">
        <v>595035</v>
      </c>
      <c r="F23" s="17">
        <v>0</v>
      </c>
      <c r="G23" s="17">
        <v>2235014</v>
      </c>
      <c r="H23" s="17">
        <v>1480610</v>
      </c>
      <c r="I23" s="17">
        <v>0</v>
      </c>
      <c r="J23" s="17">
        <v>0</v>
      </c>
      <c r="K23" s="64">
        <v>0</v>
      </c>
    </row>
    <row r="24" spans="2:11" ht="15.75" x14ac:dyDescent="0.25">
      <c r="B24" s="20"/>
      <c r="C24" s="16"/>
      <c r="D24" s="17"/>
      <c r="E24" s="17"/>
      <c r="F24" s="17"/>
      <c r="G24" s="17"/>
      <c r="H24" s="17"/>
      <c r="I24" s="17"/>
      <c r="J24" s="17"/>
      <c r="K24" s="64"/>
    </row>
    <row r="25" spans="2:11" ht="15.75" x14ac:dyDescent="0.25">
      <c r="B25" s="20" t="s">
        <v>22</v>
      </c>
      <c r="C25" s="16">
        <f>D25+E25+F25+G25+H25+I25+J25+K25</f>
        <v>568879</v>
      </c>
      <c r="D25" s="17">
        <v>0</v>
      </c>
      <c r="E25" s="17">
        <v>30273</v>
      </c>
      <c r="F25" s="17">
        <v>0</v>
      </c>
      <c r="G25" s="17">
        <v>135385</v>
      </c>
      <c r="H25" s="17">
        <v>403221</v>
      </c>
      <c r="I25" s="17">
        <v>0</v>
      </c>
      <c r="J25" s="17">
        <v>0</v>
      </c>
      <c r="K25" s="64">
        <v>0</v>
      </c>
    </row>
    <row r="26" spans="2:11" ht="15.75" x14ac:dyDescent="0.25">
      <c r="B26" s="20"/>
      <c r="C26" s="16"/>
      <c r="D26" s="17"/>
      <c r="E26" s="17"/>
      <c r="F26" s="17"/>
      <c r="G26" s="17"/>
      <c r="H26" s="17"/>
      <c r="I26" s="17"/>
      <c r="J26" s="17"/>
      <c r="K26" s="64"/>
    </row>
    <row r="27" spans="2:11" ht="15.75" x14ac:dyDescent="0.25">
      <c r="B27" s="65" t="s">
        <v>3</v>
      </c>
      <c r="C27" s="16">
        <f>C8+C10+C12+C13+C15+C17+C19+C21+C23+C25</f>
        <v>345091444</v>
      </c>
      <c r="D27" s="16">
        <f t="shared" ref="D27:K27" si="0">D8+D10+D12+D13+D15+D17+D19+D21+D23+D25</f>
        <v>3899469</v>
      </c>
      <c r="E27" s="16">
        <f t="shared" si="0"/>
        <v>41483914</v>
      </c>
      <c r="F27" s="16">
        <f t="shared" si="0"/>
        <v>20030</v>
      </c>
      <c r="G27" s="16">
        <f t="shared" si="0"/>
        <v>127348406</v>
      </c>
      <c r="H27" s="16">
        <f t="shared" si="0"/>
        <v>18596134</v>
      </c>
      <c r="I27" s="16">
        <f t="shared" si="0"/>
        <v>22284180</v>
      </c>
      <c r="J27" s="16">
        <f t="shared" si="0"/>
        <v>106323748</v>
      </c>
      <c r="K27" s="66">
        <f t="shared" si="0"/>
        <v>25135563</v>
      </c>
    </row>
    <row r="28" spans="2:11" ht="16.5" thickBot="1" x14ac:dyDescent="0.3">
      <c r="B28" s="25"/>
      <c r="C28" s="26"/>
      <c r="D28" s="27"/>
      <c r="E28" s="27"/>
      <c r="F28" s="27"/>
      <c r="G28" s="27"/>
      <c r="H28" s="27"/>
      <c r="I28" s="27"/>
      <c r="J28" s="27"/>
      <c r="K28" s="67"/>
    </row>
    <row r="29" spans="2:11" ht="16.5" thickTop="1" x14ac:dyDescent="0.25">
      <c r="B29" s="1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5.75" x14ac:dyDescent="0.25">
      <c r="B30" s="33" t="s">
        <v>23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2:11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2" t="s">
        <v>0</v>
      </c>
      <c r="C33" s="3"/>
      <c r="D33" s="3"/>
      <c r="E33" s="7"/>
      <c r="F33" s="3"/>
      <c r="G33" s="7"/>
      <c r="H33" s="7"/>
      <c r="I33" s="7"/>
      <c r="J33" s="7"/>
      <c r="K33" s="7"/>
    </row>
    <row r="34" spans="2:11" ht="15.75" x14ac:dyDescent="0.25">
      <c r="B34" s="1"/>
      <c r="C34" s="36"/>
      <c r="E34" s="38"/>
      <c r="F34" s="38"/>
      <c r="G34" s="39" t="s">
        <v>1</v>
      </c>
      <c r="H34" s="38"/>
      <c r="I34" s="38"/>
      <c r="J34" s="38"/>
      <c r="K34" s="38"/>
    </row>
    <row r="35" spans="2:11" ht="15.75" x14ac:dyDescent="0.25">
      <c r="B35" s="6" t="s">
        <v>50</v>
      </c>
      <c r="C35" s="3"/>
      <c r="D35" s="3"/>
      <c r="E35" s="7"/>
      <c r="F35" s="3"/>
      <c r="G35" s="7"/>
      <c r="H35" s="7"/>
      <c r="I35" s="7"/>
      <c r="J35" s="7"/>
      <c r="K35" s="7"/>
    </row>
    <row r="36" spans="2:11" ht="16.5" thickBot="1" x14ac:dyDescent="0.3">
      <c r="B36" s="1"/>
      <c r="C36" s="36"/>
      <c r="D36" s="38"/>
      <c r="E36" s="38"/>
      <c r="F36" s="38"/>
      <c r="G36" s="38"/>
      <c r="H36" s="38"/>
      <c r="I36" s="38"/>
      <c r="J36" s="38"/>
      <c r="K36" s="38"/>
    </row>
    <row r="37" spans="2:11" ht="16.5" thickTop="1" x14ac:dyDescent="0.25">
      <c r="B37" s="41" t="s">
        <v>24</v>
      </c>
      <c r="C37" s="42" t="s">
        <v>3</v>
      </c>
      <c r="D37" s="62" t="s">
        <v>43</v>
      </c>
      <c r="E37" s="62" t="s">
        <v>40</v>
      </c>
      <c r="F37" s="43" t="s">
        <v>6</v>
      </c>
      <c r="G37" s="43" t="s">
        <v>7</v>
      </c>
      <c r="H37" s="43" t="s">
        <v>8</v>
      </c>
      <c r="I37" s="43" t="s">
        <v>25</v>
      </c>
      <c r="J37" s="44" t="s">
        <v>10</v>
      </c>
      <c r="K37" s="63" t="s">
        <v>11</v>
      </c>
    </row>
    <row r="38" spans="2:11" ht="15.75" x14ac:dyDescent="0.25">
      <c r="B38" s="45"/>
      <c r="C38" s="46"/>
      <c r="D38" s="47"/>
      <c r="E38" s="47"/>
      <c r="F38" s="47"/>
      <c r="G38" s="47"/>
      <c r="H38" s="47"/>
      <c r="I38" s="47"/>
      <c r="J38" s="48"/>
      <c r="K38" s="68"/>
    </row>
    <row r="39" spans="2:11" ht="15.75" x14ac:dyDescent="0.25">
      <c r="B39" s="45" t="s">
        <v>26</v>
      </c>
      <c r="C39" s="49">
        <f>SUM(D39:K39)</f>
        <v>25349985</v>
      </c>
      <c r="D39" s="50">
        <v>227312</v>
      </c>
      <c r="E39" s="50">
        <v>3185693</v>
      </c>
      <c r="F39" s="50">
        <v>0</v>
      </c>
      <c r="G39" s="50">
        <v>8586241</v>
      </c>
      <c r="H39" s="50">
        <v>1541473</v>
      </c>
      <c r="I39" s="73">
        <v>1333083</v>
      </c>
      <c r="J39" s="73">
        <v>8631437</v>
      </c>
      <c r="K39" s="74">
        <v>1844746</v>
      </c>
    </row>
    <row r="40" spans="2:11" ht="15.75" x14ac:dyDescent="0.25">
      <c r="B40" s="45" t="s">
        <v>27</v>
      </c>
      <c r="C40" s="49">
        <f>SUM(D40:K40)</f>
        <v>28029597</v>
      </c>
      <c r="D40" s="50">
        <v>441703</v>
      </c>
      <c r="E40" s="50">
        <v>2822698</v>
      </c>
      <c r="F40" s="50">
        <v>820</v>
      </c>
      <c r="G40" s="50">
        <v>10835563</v>
      </c>
      <c r="H40" s="50">
        <v>1213200</v>
      </c>
      <c r="I40" s="73">
        <v>1818245</v>
      </c>
      <c r="J40" s="73">
        <v>9076296</v>
      </c>
      <c r="K40" s="74">
        <v>1821072</v>
      </c>
    </row>
    <row r="41" spans="2:11" ht="15.75" x14ac:dyDescent="0.25">
      <c r="B41" s="45" t="s">
        <v>28</v>
      </c>
      <c r="C41" s="49">
        <f>SUM(D41:K41)</f>
        <v>25656430</v>
      </c>
      <c r="D41" s="50">
        <v>324931</v>
      </c>
      <c r="E41" s="50">
        <v>3312361</v>
      </c>
      <c r="F41" s="50">
        <v>1195</v>
      </c>
      <c r="G41" s="50">
        <v>9445759</v>
      </c>
      <c r="H41" s="50">
        <v>1450674</v>
      </c>
      <c r="I41" s="73">
        <v>1962639</v>
      </c>
      <c r="J41" s="73">
        <v>7360715</v>
      </c>
      <c r="K41" s="74">
        <v>1798156</v>
      </c>
    </row>
    <row r="42" spans="2:11" ht="15.75" x14ac:dyDescent="0.25">
      <c r="B42" s="45"/>
      <c r="C42" s="49">
        <f t="shared" ref="C42:H42" si="1">C39+C40+C41</f>
        <v>79036012</v>
      </c>
      <c r="D42" s="50">
        <f t="shared" si="1"/>
        <v>993946</v>
      </c>
      <c r="E42" s="50">
        <f t="shared" si="1"/>
        <v>9320752</v>
      </c>
      <c r="F42" s="50">
        <f t="shared" si="1"/>
        <v>2015</v>
      </c>
      <c r="G42" s="50">
        <f t="shared" si="1"/>
        <v>28867563</v>
      </c>
      <c r="H42" s="50">
        <f t="shared" si="1"/>
        <v>4205347</v>
      </c>
      <c r="I42" s="73">
        <f>SUM(I39:I41)</f>
        <v>5113967</v>
      </c>
      <c r="J42" s="73">
        <f>SUM(J39:J41)</f>
        <v>25068448</v>
      </c>
      <c r="K42" s="74">
        <f>K39+K40+K41</f>
        <v>5463974</v>
      </c>
    </row>
    <row r="43" spans="2:11" ht="15.75" x14ac:dyDescent="0.25">
      <c r="B43" s="45" t="s">
        <v>29</v>
      </c>
      <c r="C43" s="49">
        <f>SUM(D43:K43)</f>
        <v>27279081</v>
      </c>
      <c r="D43" s="50">
        <v>269687</v>
      </c>
      <c r="E43" s="50">
        <v>3243819</v>
      </c>
      <c r="F43" s="50">
        <v>4593</v>
      </c>
      <c r="G43" s="50">
        <v>11244601</v>
      </c>
      <c r="H43" s="50">
        <v>1276619</v>
      </c>
      <c r="I43" s="73">
        <v>2481205</v>
      </c>
      <c r="J43" s="73">
        <v>6933912</v>
      </c>
      <c r="K43" s="74">
        <v>1824645</v>
      </c>
    </row>
    <row r="44" spans="2:11" ht="15.75" x14ac:dyDescent="0.25">
      <c r="B44" s="45" t="s">
        <v>30</v>
      </c>
      <c r="C44" s="49">
        <f>SUM(D44:K44)</f>
        <v>30555677</v>
      </c>
      <c r="D44" s="50">
        <v>380191</v>
      </c>
      <c r="E44" s="50">
        <v>3707218</v>
      </c>
      <c r="F44" s="50">
        <v>2986</v>
      </c>
      <c r="G44" s="50">
        <v>9683487</v>
      </c>
      <c r="H44" s="50">
        <v>1612629</v>
      </c>
      <c r="I44" s="73">
        <v>2138006</v>
      </c>
      <c r="J44" s="73">
        <v>9493978</v>
      </c>
      <c r="K44" s="74">
        <v>3537182</v>
      </c>
    </row>
    <row r="45" spans="2:11" ht="15.75" x14ac:dyDescent="0.25">
      <c r="B45" s="45" t="s">
        <v>31</v>
      </c>
      <c r="C45" s="49">
        <f>SUM(D45:K45)</f>
        <v>27735051</v>
      </c>
      <c r="D45" s="50">
        <v>360584</v>
      </c>
      <c r="E45" s="50">
        <v>3272632</v>
      </c>
      <c r="F45" s="50">
        <v>2986</v>
      </c>
      <c r="G45" s="50">
        <v>10101167</v>
      </c>
      <c r="H45" s="50">
        <v>1471898</v>
      </c>
      <c r="I45" s="73">
        <v>2326291</v>
      </c>
      <c r="J45" s="73">
        <v>8411651</v>
      </c>
      <c r="K45" s="74">
        <v>1787842</v>
      </c>
    </row>
    <row r="46" spans="2:11" ht="15.75" x14ac:dyDescent="0.25">
      <c r="B46" s="45"/>
      <c r="C46" s="49">
        <f t="shared" ref="C46:H46" si="2">C43+C44+C45</f>
        <v>85569809</v>
      </c>
      <c r="D46" s="50">
        <f t="shared" si="2"/>
        <v>1010462</v>
      </c>
      <c r="E46" s="50">
        <f t="shared" si="2"/>
        <v>10223669</v>
      </c>
      <c r="F46" s="50">
        <f t="shared" si="2"/>
        <v>10565</v>
      </c>
      <c r="G46" s="50">
        <f t="shared" si="2"/>
        <v>31029255</v>
      </c>
      <c r="H46" s="50">
        <f t="shared" si="2"/>
        <v>4361146</v>
      </c>
      <c r="I46" s="73">
        <f>SUM(I43:I45)</f>
        <v>6945502</v>
      </c>
      <c r="J46" s="73">
        <f>SUM(J43:J45)</f>
        <v>24839541</v>
      </c>
      <c r="K46" s="74">
        <f>K43+K44+K45</f>
        <v>7149669</v>
      </c>
    </row>
    <row r="47" spans="2:11" ht="15.75" x14ac:dyDescent="0.25">
      <c r="B47" s="45" t="s">
        <v>32</v>
      </c>
      <c r="C47" s="49">
        <f>SUM(D47:K47)</f>
        <v>32339124</v>
      </c>
      <c r="D47" s="50">
        <v>371320</v>
      </c>
      <c r="E47" s="50">
        <v>3699105</v>
      </c>
      <c r="F47" s="50">
        <v>794</v>
      </c>
      <c r="G47" s="50">
        <v>13810845</v>
      </c>
      <c r="H47" s="50">
        <v>1510686</v>
      </c>
      <c r="I47" s="73">
        <v>1411008</v>
      </c>
      <c r="J47" s="73">
        <v>9799177</v>
      </c>
      <c r="K47" s="74">
        <v>1736189</v>
      </c>
    </row>
    <row r="48" spans="2:11" ht="15.75" x14ac:dyDescent="0.25">
      <c r="B48" s="45" t="s">
        <v>41</v>
      </c>
      <c r="C48" s="49">
        <f>SUM(D48:K48)</f>
        <v>31290130</v>
      </c>
      <c r="D48" s="50">
        <v>370352</v>
      </c>
      <c r="E48" s="50">
        <v>4311783</v>
      </c>
      <c r="F48" s="50">
        <v>0</v>
      </c>
      <c r="G48" s="50">
        <v>10637498</v>
      </c>
      <c r="H48" s="50">
        <v>1971349</v>
      </c>
      <c r="I48" s="73">
        <v>2733388</v>
      </c>
      <c r="J48" s="73">
        <v>9411646</v>
      </c>
      <c r="K48" s="74">
        <v>1854114</v>
      </c>
    </row>
    <row r="49" spans="2:11" ht="15.75" x14ac:dyDescent="0.25">
      <c r="B49" s="45" t="s">
        <v>34</v>
      </c>
      <c r="C49" s="49">
        <f>SUM(D49:K49)</f>
        <v>31541760</v>
      </c>
      <c r="D49" s="50">
        <v>262580</v>
      </c>
      <c r="E49" s="50">
        <v>3109036</v>
      </c>
      <c r="F49" s="50">
        <v>4962</v>
      </c>
      <c r="G49" s="50">
        <v>12365527</v>
      </c>
      <c r="H49" s="50">
        <v>1654125</v>
      </c>
      <c r="I49" s="73">
        <v>1655029</v>
      </c>
      <c r="J49" s="73">
        <v>10711951</v>
      </c>
      <c r="K49" s="74">
        <v>1778550</v>
      </c>
    </row>
    <row r="50" spans="2:11" ht="15.75" x14ac:dyDescent="0.25">
      <c r="B50" s="45"/>
      <c r="C50" s="49">
        <f t="shared" ref="C50:K50" si="3">C47+C48+C49</f>
        <v>95171014</v>
      </c>
      <c r="D50" s="50">
        <f t="shared" si="3"/>
        <v>1004252</v>
      </c>
      <c r="E50" s="50">
        <f t="shared" si="3"/>
        <v>11119924</v>
      </c>
      <c r="F50" s="50">
        <f t="shared" si="3"/>
        <v>5756</v>
      </c>
      <c r="G50" s="50">
        <f t="shared" si="3"/>
        <v>36813870</v>
      </c>
      <c r="H50" s="50">
        <f t="shared" si="3"/>
        <v>5136160</v>
      </c>
      <c r="I50" s="73">
        <f>SUM(I47:I49)</f>
        <v>5799425</v>
      </c>
      <c r="J50" s="73">
        <f>SUM(J47:J49)</f>
        <v>29922774</v>
      </c>
      <c r="K50" s="74">
        <f t="shared" si="3"/>
        <v>5368853</v>
      </c>
    </row>
    <row r="51" spans="2:11" ht="15.75" x14ac:dyDescent="0.25">
      <c r="B51" s="45" t="s">
        <v>35</v>
      </c>
      <c r="C51" s="49">
        <f>SUM(D51:K51)</f>
        <v>27874408</v>
      </c>
      <c r="D51" s="50">
        <v>351994</v>
      </c>
      <c r="E51" s="50">
        <v>3558512</v>
      </c>
      <c r="F51" s="50">
        <v>695</v>
      </c>
      <c r="G51" s="50">
        <v>10270452</v>
      </c>
      <c r="H51" s="50">
        <v>1726560</v>
      </c>
      <c r="I51" s="73">
        <v>1548427</v>
      </c>
      <c r="J51" s="73">
        <v>8594960</v>
      </c>
      <c r="K51" s="74">
        <v>1822808</v>
      </c>
    </row>
    <row r="52" spans="2:11" ht="15.75" x14ac:dyDescent="0.25">
      <c r="B52" s="45" t="s">
        <v>36</v>
      </c>
      <c r="C52" s="49">
        <f>SUM(D52:K52)</f>
        <v>30364938</v>
      </c>
      <c r="D52" s="50">
        <v>215327</v>
      </c>
      <c r="E52" s="50">
        <v>3930017</v>
      </c>
      <c r="F52" s="50">
        <v>999</v>
      </c>
      <c r="G52" s="50">
        <v>11618967</v>
      </c>
      <c r="H52" s="50">
        <v>1564635</v>
      </c>
      <c r="I52" s="73">
        <v>1754595</v>
      </c>
      <c r="J52" s="73">
        <v>9442416</v>
      </c>
      <c r="K52" s="74">
        <v>1837982</v>
      </c>
    </row>
    <row r="53" spans="2:11" ht="15.75" x14ac:dyDescent="0.25">
      <c r="B53" s="45" t="s">
        <v>37</v>
      </c>
      <c r="C53" s="49">
        <f>SUM(D53:K53)</f>
        <v>27075263</v>
      </c>
      <c r="D53" s="50">
        <v>323488</v>
      </c>
      <c r="E53" s="50">
        <v>3331040</v>
      </c>
      <c r="F53" s="50">
        <v>0</v>
      </c>
      <c r="G53" s="50">
        <v>8748299</v>
      </c>
      <c r="H53" s="50">
        <v>1602286</v>
      </c>
      <c r="I53" s="73">
        <v>1122264</v>
      </c>
      <c r="J53" s="73">
        <v>8455609</v>
      </c>
      <c r="K53" s="74">
        <v>3492277</v>
      </c>
    </row>
    <row r="54" spans="2:11" ht="15.75" x14ac:dyDescent="0.25">
      <c r="B54" s="45"/>
      <c r="C54" s="49">
        <f t="shared" ref="C54:K54" si="4">C51+C52+C53</f>
        <v>85314609</v>
      </c>
      <c r="D54" s="50">
        <f t="shared" si="4"/>
        <v>890809</v>
      </c>
      <c r="E54" s="50">
        <f t="shared" si="4"/>
        <v>10819569</v>
      </c>
      <c r="F54" s="50">
        <f t="shared" si="4"/>
        <v>1694</v>
      </c>
      <c r="G54" s="50">
        <f t="shared" si="4"/>
        <v>30637718</v>
      </c>
      <c r="H54" s="50">
        <f t="shared" si="4"/>
        <v>4893481</v>
      </c>
      <c r="I54" s="73">
        <f>SUM(I51:I53)</f>
        <v>4425286</v>
      </c>
      <c r="J54" s="75">
        <f>SUM(J51:J53)</f>
        <v>26492985</v>
      </c>
      <c r="K54" s="74">
        <f t="shared" si="4"/>
        <v>7153067</v>
      </c>
    </row>
    <row r="55" spans="2:11" ht="15" x14ac:dyDescent="0.25">
      <c r="B55" s="70" t="s">
        <v>38</v>
      </c>
      <c r="C55" s="49">
        <f t="shared" ref="C55:K55" si="5">C39+C40+C41+C43+C44+C45+C47+C48+C49+C51+C52+C53</f>
        <v>345091444</v>
      </c>
      <c r="D55" s="50">
        <f t="shared" si="5"/>
        <v>3899469</v>
      </c>
      <c r="E55" s="50">
        <f t="shared" si="5"/>
        <v>41483914</v>
      </c>
      <c r="F55" s="50">
        <f t="shared" si="5"/>
        <v>20030</v>
      </c>
      <c r="G55" s="50">
        <f t="shared" si="5"/>
        <v>127348406</v>
      </c>
      <c r="H55" s="50">
        <f t="shared" si="5"/>
        <v>18596134</v>
      </c>
      <c r="I55" s="50">
        <f t="shared" si="5"/>
        <v>22284180</v>
      </c>
      <c r="J55" s="51">
        <f t="shared" si="5"/>
        <v>106323748</v>
      </c>
      <c r="K55" s="69">
        <f t="shared" si="5"/>
        <v>25135563</v>
      </c>
    </row>
    <row r="56" spans="2:11" ht="16.5" thickBot="1" x14ac:dyDescent="0.3">
      <c r="B56" s="58"/>
      <c r="C56" s="26"/>
      <c r="D56" s="27"/>
      <c r="E56" s="27"/>
      <c r="F56" s="27"/>
      <c r="G56" s="27"/>
      <c r="H56" s="27"/>
      <c r="I56" s="27"/>
      <c r="J56" s="28"/>
      <c r="K56" s="67"/>
    </row>
    <row r="57" spans="2:11" ht="16.5" thickTop="1" x14ac:dyDescent="0.25">
      <c r="B57" s="1"/>
      <c r="C57" s="59"/>
      <c r="D57" s="60"/>
      <c r="E57" s="60"/>
      <c r="F57" s="60"/>
      <c r="G57" s="60"/>
      <c r="H57" s="60"/>
      <c r="I57" s="60"/>
      <c r="J57" s="60"/>
      <c r="K57" s="60"/>
    </row>
    <row r="58" spans="2:11" ht="15.75" x14ac:dyDescent="0.25">
      <c r="B58" s="33" t="s">
        <v>23</v>
      </c>
      <c r="C58" s="59"/>
      <c r="D58" s="60"/>
      <c r="E58" s="60"/>
      <c r="F58" s="60"/>
      <c r="G58" s="60"/>
      <c r="H58" s="60"/>
      <c r="I58" s="60"/>
      <c r="J58" s="60"/>
      <c r="K58" s="60"/>
    </row>
  </sheetData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58"/>
  <sheetViews>
    <sheetView topLeftCell="A4" workbookViewId="0">
      <selection activeCell="D27" sqref="D27:K27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2" spans="2:11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</row>
    <row r="3" spans="2:11" ht="15.75" x14ac:dyDescent="0.25">
      <c r="B3" s="1"/>
      <c r="C3" s="5"/>
      <c r="D3" s="2"/>
      <c r="E3" s="2"/>
      <c r="F3" s="2"/>
      <c r="G3" s="2" t="s">
        <v>1</v>
      </c>
      <c r="H3" s="2"/>
      <c r="I3" s="2"/>
      <c r="J3" s="2"/>
      <c r="K3" s="2"/>
    </row>
    <row r="4" spans="2:11" ht="15.75" x14ac:dyDescent="0.25">
      <c r="B4" s="6" t="s">
        <v>51</v>
      </c>
      <c r="C4" s="3"/>
      <c r="D4" s="3"/>
      <c r="E4" s="7"/>
      <c r="F4" s="3"/>
      <c r="G4" s="7"/>
      <c r="H4" s="7"/>
      <c r="I4" s="7"/>
      <c r="J4" s="7"/>
      <c r="K4" s="7"/>
    </row>
    <row r="5" spans="2:11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9"/>
    </row>
    <row r="6" spans="2:11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63" t="s">
        <v>11</v>
      </c>
    </row>
    <row r="7" spans="2:11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64"/>
    </row>
    <row r="8" spans="2:11" ht="15.75" x14ac:dyDescent="0.25">
      <c r="B8" s="20" t="s">
        <v>13</v>
      </c>
      <c r="C8" s="16">
        <f>D8+E8+F8+G8+H8+I8+J8+K8</f>
        <v>174964705</v>
      </c>
      <c r="D8" s="17">
        <v>1609172</v>
      </c>
      <c r="E8" s="17">
        <v>20789545</v>
      </c>
      <c r="F8" s="17">
        <v>12165</v>
      </c>
      <c r="G8" s="17">
        <v>69773975</v>
      </c>
      <c r="H8" s="17">
        <v>270430</v>
      </c>
      <c r="I8" s="17">
        <v>16681485</v>
      </c>
      <c r="J8" s="17">
        <v>52410498</v>
      </c>
      <c r="K8" s="64">
        <v>13417435</v>
      </c>
    </row>
    <row r="9" spans="2:11" ht="15.75" x14ac:dyDescent="0.25">
      <c r="B9" s="20"/>
      <c r="C9" s="16"/>
      <c r="D9" s="17"/>
      <c r="E9" s="17"/>
      <c r="F9" s="17"/>
      <c r="G9" s="17"/>
      <c r="H9" s="17"/>
      <c r="I9" s="17"/>
      <c r="J9" s="17"/>
      <c r="K9" s="64"/>
    </row>
    <row r="10" spans="2:11" ht="15.75" x14ac:dyDescent="0.25">
      <c r="B10" s="20" t="s">
        <v>14</v>
      </c>
      <c r="C10" s="16">
        <f>D10+E10+F10+G10+H10+I10+J10+K10</f>
        <v>8729471</v>
      </c>
      <c r="D10" s="17">
        <v>131366</v>
      </c>
      <c r="E10" s="17">
        <v>1176576</v>
      </c>
      <c r="F10" s="17">
        <v>5991</v>
      </c>
      <c r="G10" s="17">
        <v>2219753</v>
      </c>
      <c r="H10" s="17">
        <v>5195785</v>
      </c>
      <c r="I10" s="17">
        <v>0</v>
      </c>
      <c r="J10" s="17">
        <v>0</v>
      </c>
      <c r="K10" s="64">
        <v>0</v>
      </c>
    </row>
    <row r="11" spans="2:11" ht="15.75" x14ac:dyDescent="0.25">
      <c r="B11" s="20"/>
      <c r="C11" s="16"/>
      <c r="D11" s="17"/>
      <c r="E11" s="17"/>
      <c r="F11" s="17"/>
      <c r="G11" s="17"/>
      <c r="H11" s="17"/>
      <c r="I11" s="17"/>
      <c r="J11" s="17"/>
      <c r="K11" s="64"/>
    </row>
    <row r="12" spans="2:11" ht="15.75" x14ac:dyDescent="0.25">
      <c r="B12" s="20" t="s">
        <v>15</v>
      </c>
      <c r="C12" s="16">
        <f>D12+E12+F12+G12+H12+I12+J12+K12</f>
        <v>95986276</v>
      </c>
      <c r="D12" s="17">
        <v>914192</v>
      </c>
      <c r="E12" s="17">
        <v>9861179</v>
      </c>
      <c r="F12" s="17">
        <v>0</v>
      </c>
      <c r="G12" s="17">
        <v>28765064</v>
      </c>
      <c r="H12" s="17">
        <v>789702</v>
      </c>
      <c r="I12" s="17">
        <v>4950002</v>
      </c>
      <c r="J12" s="17">
        <v>44162310</v>
      </c>
      <c r="K12" s="64">
        <v>6543827</v>
      </c>
    </row>
    <row r="13" spans="2:11" ht="15.75" x14ac:dyDescent="0.25">
      <c r="B13" s="20" t="s">
        <v>16</v>
      </c>
      <c r="C13" s="16">
        <f>D13+E13+F13+G13+H13+I13+J13+K13</f>
        <v>0</v>
      </c>
      <c r="D13" s="17">
        <v>0</v>
      </c>
      <c r="E13" s="17">
        <v>0</v>
      </c>
      <c r="F13" s="17">
        <v>0</v>
      </c>
      <c r="G13" s="17">
        <v>-213571</v>
      </c>
      <c r="H13" s="17">
        <v>213571</v>
      </c>
      <c r="I13" s="17">
        <v>0</v>
      </c>
      <c r="J13" s="17">
        <v>0</v>
      </c>
      <c r="K13" s="64">
        <v>0</v>
      </c>
    </row>
    <row r="14" spans="2:11" ht="15.75" x14ac:dyDescent="0.25">
      <c r="B14" s="20"/>
      <c r="C14" s="16"/>
      <c r="D14" s="17"/>
      <c r="E14" s="17"/>
      <c r="F14" s="17"/>
      <c r="G14" s="17"/>
      <c r="H14" s="17"/>
      <c r="I14" s="17"/>
      <c r="J14" s="17"/>
      <c r="K14" s="64"/>
    </row>
    <row r="15" spans="2:11" ht="15.75" x14ac:dyDescent="0.25">
      <c r="B15" s="20" t="s">
        <v>17</v>
      </c>
      <c r="C15" s="16">
        <f>D15+E15+F15+G15+H15+I15+J15+K15</f>
        <v>6205464</v>
      </c>
      <c r="D15" s="17">
        <v>0</v>
      </c>
      <c r="E15" s="17">
        <v>699661</v>
      </c>
      <c r="F15" s="17">
        <v>0</v>
      </c>
      <c r="G15" s="17">
        <v>2292502</v>
      </c>
      <c r="H15" s="17">
        <v>3213301</v>
      </c>
      <c r="I15" s="17">
        <v>0</v>
      </c>
      <c r="J15" s="17">
        <v>0</v>
      </c>
      <c r="K15" s="64">
        <v>0</v>
      </c>
    </row>
    <row r="16" spans="2:11" ht="15.75" x14ac:dyDescent="0.25">
      <c r="B16" s="20"/>
      <c r="C16" s="16"/>
      <c r="D16" s="17"/>
      <c r="E16" s="17"/>
      <c r="F16" s="17"/>
      <c r="G16" s="17"/>
      <c r="H16" s="17"/>
      <c r="I16" s="17"/>
      <c r="J16" s="17"/>
      <c r="K16" s="64"/>
    </row>
    <row r="17" spans="2:11" ht="15.75" x14ac:dyDescent="0.25">
      <c r="B17" s="20" t="s">
        <v>18</v>
      </c>
      <c r="C17" s="16">
        <f>D17+E17+F17+G17+H17+I17+J17+K17</f>
        <v>13791191</v>
      </c>
      <c r="D17" s="17">
        <v>82602</v>
      </c>
      <c r="E17" s="17">
        <v>1152909</v>
      </c>
      <c r="F17" s="17">
        <v>0</v>
      </c>
      <c r="G17" s="17">
        <v>5810359</v>
      </c>
      <c r="H17" s="17">
        <v>6698564</v>
      </c>
      <c r="I17" s="17">
        <v>46757</v>
      </c>
      <c r="J17" s="17">
        <v>0</v>
      </c>
      <c r="K17" s="64">
        <v>0</v>
      </c>
    </row>
    <row r="18" spans="2:11" ht="15.75" x14ac:dyDescent="0.25">
      <c r="B18" s="20"/>
      <c r="C18" s="16"/>
      <c r="D18" s="17"/>
      <c r="E18" s="17"/>
      <c r="F18" s="17"/>
      <c r="G18" s="17"/>
      <c r="H18" s="17"/>
      <c r="I18" s="17"/>
      <c r="J18" s="17"/>
      <c r="K18" s="64"/>
    </row>
    <row r="19" spans="2:11" ht="15.75" x14ac:dyDescent="0.25">
      <c r="B19" s="20" t="s">
        <v>19</v>
      </c>
      <c r="C19" s="16">
        <f>D19+E19+F19+G19+H19+I19+J19+K19</f>
        <v>26758433</v>
      </c>
      <c r="D19" s="17">
        <v>140671</v>
      </c>
      <c r="E19" s="17">
        <v>2657909</v>
      </c>
      <c r="F19" s="17">
        <v>0</v>
      </c>
      <c r="G19" s="17">
        <v>8339342</v>
      </c>
      <c r="H19" s="17">
        <v>433221</v>
      </c>
      <c r="I19" s="17">
        <v>766214</v>
      </c>
      <c r="J19" s="17">
        <v>10982781</v>
      </c>
      <c r="K19" s="64">
        <v>3438295</v>
      </c>
    </row>
    <row r="20" spans="2:11" ht="15.75" x14ac:dyDescent="0.25">
      <c r="B20" s="20"/>
      <c r="C20" s="16"/>
      <c r="D20" s="17"/>
      <c r="E20" s="17"/>
      <c r="F20" s="17"/>
      <c r="G20" s="17"/>
      <c r="H20" s="17"/>
      <c r="I20" s="17"/>
      <c r="J20" s="17"/>
      <c r="K20" s="64"/>
    </row>
    <row r="21" spans="2:11" ht="15.75" x14ac:dyDescent="0.25">
      <c r="B21" s="20" t="s">
        <v>20</v>
      </c>
      <c r="C21" s="16">
        <f>D21+E21+F21+G21+H21+I21+J21+K21</f>
        <v>20308514</v>
      </c>
      <c r="D21" s="17">
        <v>69571</v>
      </c>
      <c r="E21" s="17">
        <v>2200339</v>
      </c>
      <c r="F21" s="17">
        <v>0</v>
      </c>
      <c r="G21" s="17">
        <v>8563799</v>
      </c>
      <c r="H21" s="17">
        <v>263642</v>
      </c>
      <c r="I21" s="17">
        <v>559610</v>
      </c>
      <c r="J21" s="17">
        <v>8651553</v>
      </c>
      <c r="K21" s="64">
        <v>0</v>
      </c>
    </row>
    <row r="22" spans="2:11" ht="15.75" x14ac:dyDescent="0.25">
      <c r="B22" s="20"/>
      <c r="C22" s="16"/>
      <c r="D22" s="17"/>
      <c r="E22" s="17"/>
      <c r="F22" s="17"/>
      <c r="G22" s="17"/>
      <c r="H22" s="17"/>
      <c r="I22" s="17"/>
      <c r="J22" s="17"/>
      <c r="K22" s="64"/>
    </row>
    <row r="23" spans="2:11" ht="15.75" x14ac:dyDescent="0.25">
      <c r="B23" s="20" t="s">
        <v>21</v>
      </c>
      <c r="C23" s="16">
        <f>D23+E23+F23+G23+H23+I23+J23+K23</f>
        <v>4765025</v>
      </c>
      <c r="D23" s="17">
        <v>24861</v>
      </c>
      <c r="E23" s="17">
        <v>568268</v>
      </c>
      <c r="F23" s="17">
        <v>0</v>
      </c>
      <c r="G23" s="17">
        <v>2344894</v>
      </c>
      <c r="H23" s="17">
        <v>1827002</v>
      </c>
      <c r="I23" s="17">
        <v>0</v>
      </c>
      <c r="J23" s="17">
        <v>0</v>
      </c>
      <c r="K23" s="64">
        <v>0</v>
      </c>
    </row>
    <row r="24" spans="2:11" ht="15.75" x14ac:dyDescent="0.25">
      <c r="B24" s="20"/>
      <c r="C24" s="16"/>
      <c r="D24" s="17"/>
      <c r="E24" s="17"/>
      <c r="F24" s="17"/>
      <c r="G24" s="17"/>
      <c r="H24" s="17"/>
      <c r="I24" s="17"/>
      <c r="J24" s="17"/>
      <c r="K24" s="64"/>
    </row>
    <row r="25" spans="2:11" ht="15.75" x14ac:dyDescent="0.25">
      <c r="B25" s="20" t="s">
        <v>22</v>
      </c>
      <c r="C25" s="16">
        <f>D25+E25+F25+G25+H25+I25+J25+K25</f>
        <v>526636</v>
      </c>
      <c r="D25" s="17">
        <v>0</v>
      </c>
      <c r="E25" s="17">
        <v>31836</v>
      </c>
      <c r="F25" s="17">
        <v>0</v>
      </c>
      <c r="G25" s="17">
        <v>134399</v>
      </c>
      <c r="H25" s="17">
        <v>360401</v>
      </c>
      <c r="I25" s="17">
        <v>0</v>
      </c>
      <c r="J25" s="17">
        <v>0</v>
      </c>
      <c r="K25" s="64">
        <v>0</v>
      </c>
    </row>
    <row r="26" spans="2:11" ht="15.75" x14ac:dyDescent="0.25">
      <c r="B26" s="20"/>
      <c r="C26" s="16"/>
      <c r="D26" s="17"/>
      <c r="E26" s="17"/>
      <c r="F26" s="17"/>
      <c r="G26" s="17"/>
      <c r="H26" s="17"/>
      <c r="I26" s="17"/>
      <c r="J26" s="17"/>
      <c r="K26" s="64"/>
    </row>
    <row r="27" spans="2:11" ht="15.75" x14ac:dyDescent="0.25">
      <c r="B27" s="65" t="s">
        <v>3</v>
      </c>
      <c r="C27" s="16">
        <f>C8+C10+C12+C13+C15+C17+C19+C21+C23+C25</f>
        <v>352035715</v>
      </c>
      <c r="D27" s="16">
        <f t="shared" ref="D27:K27" si="0">D8+D10+D12+D13+D15+D17+D19+D21+D23+D25</f>
        <v>2972435</v>
      </c>
      <c r="E27" s="16">
        <f t="shared" si="0"/>
        <v>39138222</v>
      </c>
      <c r="F27" s="16">
        <f t="shared" si="0"/>
        <v>18156</v>
      </c>
      <c r="G27" s="16">
        <f t="shared" si="0"/>
        <v>128030516</v>
      </c>
      <c r="H27" s="16">
        <f t="shared" si="0"/>
        <v>19265619</v>
      </c>
      <c r="I27" s="16">
        <f t="shared" si="0"/>
        <v>23004068</v>
      </c>
      <c r="J27" s="16">
        <f t="shared" si="0"/>
        <v>116207142</v>
      </c>
      <c r="K27" s="66">
        <f t="shared" si="0"/>
        <v>23399557</v>
      </c>
    </row>
    <row r="28" spans="2:11" ht="16.5" thickBot="1" x14ac:dyDescent="0.3">
      <c r="B28" s="25"/>
      <c r="C28" s="26"/>
      <c r="D28" s="27"/>
      <c r="E28" s="27"/>
      <c r="F28" s="27"/>
      <c r="G28" s="27"/>
      <c r="H28" s="27"/>
      <c r="I28" s="27"/>
      <c r="J28" s="27"/>
      <c r="K28" s="67"/>
    </row>
    <row r="29" spans="2:11" ht="16.5" thickTop="1" x14ac:dyDescent="0.25">
      <c r="B29" s="1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5.75" x14ac:dyDescent="0.25">
      <c r="B30" s="33" t="s">
        <v>23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2:11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2" t="s">
        <v>0</v>
      </c>
      <c r="C33" s="3"/>
      <c r="D33" s="3"/>
      <c r="E33" s="7"/>
      <c r="F33" s="3"/>
      <c r="G33" s="7"/>
      <c r="H33" s="7"/>
      <c r="I33" s="7"/>
      <c r="J33" s="7"/>
      <c r="K33" s="7"/>
    </row>
    <row r="34" spans="2:11" ht="15.75" x14ac:dyDescent="0.25">
      <c r="B34" s="1"/>
      <c r="C34" s="36"/>
      <c r="E34" s="38"/>
      <c r="F34" s="38"/>
      <c r="G34" s="39" t="s">
        <v>1</v>
      </c>
      <c r="H34" s="38"/>
      <c r="I34" s="38"/>
      <c r="J34" s="38"/>
      <c r="K34" s="38"/>
    </row>
    <row r="35" spans="2:11" ht="15.75" x14ac:dyDescent="0.25">
      <c r="B35" s="6" t="s">
        <v>51</v>
      </c>
      <c r="C35" s="3"/>
      <c r="D35" s="3"/>
      <c r="E35" s="7"/>
      <c r="F35" s="3"/>
      <c r="G35" s="7"/>
      <c r="H35" s="7"/>
      <c r="I35" s="7"/>
      <c r="J35" s="7"/>
      <c r="K35" s="7"/>
    </row>
    <row r="36" spans="2:11" ht="16.5" thickBot="1" x14ac:dyDescent="0.3">
      <c r="B36" s="1"/>
      <c r="C36" s="36"/>
      <c r="D36" s="38"/>
      <c r="E36" s="38"/>
      <c r="F36" s="38"/>
      <c r="G36" s="38"/>
      <c r="H36" s="38"/>
      <c r="I36" s="38"/>
      <c r="J36" s="38"/>
      <c r="K36" s="38"/>
    </row>
    <row r="37" spans="2:11" ht="16.5" thickTop="1" x14ac:dyDescent="0.25">
      <c r="B37" s="41" t="s">
        <v>24</v>
      </c>
      <c r="C37" s="42" t="s">
        <v>3</v>
      </c>
      <c r="D37" s="62" t="s">
        <v>43</v>
      </c>
      <c r="E37" s="62" t="s">
        <v>40</v>
      </c>
      <c r="F37" s="43" t="s">
        <v>6</v>
      </c>
      <c r="G37" s="43" t="s">
        <v>7</v>
      </c>
      <c r="H37" s="43" t="s">
        <v>8</v>
      </c>
      <c r="I37" s="43" t="s">
        <v>25</v>
      </c>
      <c r="J37" s="44" t="s">
        <v>10</v>
      </c>
      <c r="K37" s="63" t="s">
        <v>11</v>
      </c>
    </row>
    <row r="38" spans="2:11" ht="15.75" x14ac:dyDescent="0.25">
      <c r="B38" s="45"/>
      <c r="C38" s="46"/>
      <c r="D38" s="47"/>
      <c r="E38" s="47"/>
      <c r="F38" s="47"/>
      <c r="G38" s="47"/>
      <c r="H38" s="47"/>
      <c r="I38" s="47"/>
      <c r="J38" s="48"/>
      <c r="K38" s="68"/>
    </row>
    <row r="39" spans="2:11" ht="15.75" x14ac:dyDescent="0.25">
      <c r="B39" s="45" t="s">
        <v>26</v>
      </c>
      <c r="C39" s="49">
        <f>SUM(D39:K39)</f>
        <v>27827459</v>
      </c>
      <c r="D39" s="50">
        <v>194159</v>
      </c>
      <c r="E39" s="50">
        <v>3032757</v>
      </c>
      <c r="F39" s="50">
        <v>0</v>
      </c>
      <c r="G39" s="50">
        <v>8507151</v>
      </c>
      <c r="H39" s="50">
        <v>1676597</v>
      </c>
      <c r="I39" s="73">
        <v>2073046</v>
      </c>
      <c r="J39" s="73">
        <v>10510933</v>
      </c>
      <c r="K39" s="74">
        <v>1832816</v>
      </c>
    </row>
    <row r="40" spans="2:11" ht="15.75" x14ac:dyDescent="0.25">
      <c r="B40" s="45" t="s">
        <v>27</v>
      </c>
      <c r="C40" s="49">
        <f>SUM(D40:K40)</f>
        <v>29762255</v>
      </c>
      <c r="D40" s="50">
        <v>304118</v>
      </c>
      <c r="E40" s="50">
        <v>3085469</v>
      </c>
      <c r="F40" s="50">
        <v>9992</v>
      </c>
      <c r="G40" s="50">
        <v>11376015</v>
      </c>
      <c r="H40" s="50">
        <v>1387551</v>
      </c>
      <c r="I40" s="73">
        <v>2494562</v>
      </c>
      <c r="J40" s="73">
        <v>9349787</v>
      </c>
      <c r="K40" s="74">
        <v>1754761</v>
      </c>
    </row>
    <row r="41" spans="2:11" ht="15.75" x14ac:dyDescent="0.25">
      <c r="B41" s="45" t="s">
        <v>28</v>
      </c>
      <c r="C41" s="49">
        <f>SUM(D41:K41)</f>
        <v>25314247</v>
      </c>
      <c r="D41" s="50">
        <v>143104</v>
      </c>
      <c r="E41" s="50">
        <v>3022171</v>
      </c>
      <c r="F41" s="50">
        <v>1996</v>
      </c>
      <c r="G41" s="50">
        <v>8470867</v>
      </c>
      <c r="H41" s="50">
        <v>1405953</v>
      </c>
      <c r="I41" s="73">
        <v>1678302</v>
      </c>
      <c r="J41" s="73">
        <v>8761563</v>
      </c>
      <c r="K41" s="74">
        <v>1830291</v>
      </c>
    </row>
    <row r="42" spans="2:11" ht="15.75" x14ac:dyDescent="0.25">
      <c r="B42" s="45"/>
      <c r="C42" s="49">
        <f t="shared" ref="C42:H42" si="1">C39+C40+C41</f>
        <v>82903961</v>
      </c>
      <c r="D42" s="50">
        <f t="shared" si="1"/>
        <v>641381</v>
      </c>
      <c r="E42" s="50">
        <f t="shared" si="1"/>
        <v>9140397</v>
      </c>
      <c r="F42" s="50">
        <f t="shared" si="1"/>
        <v>11988</v>
      </c>
      <c r="G42" s="50">
        <f t="shared" si="1"/>
        <v>28354033</v>
      </c>
      <c r="H42" s="50">
        <f t="shared" si="1"/>
        <v>4470101</v>
      </c>
      <c r="I42" s="73">
        <f>SUM(I39:I41)</f>
        <v>6245910</v>
      </c>
      <c r="J42" s="73">
        <f>SUM(J39:J41)</f>
        <v>28622283</v>
      </c>
      <c r="K42" s="74">
        <f>K39+K40+K41</f>
        <v>5417868</v>
      </c>
    </row>
    <row r="43" spans="2:11" ht="15.75" x14ac:dyDescent="0.25">
      <c r="B43" s="45" t="s">
        <v>29</v>
      </c>
      <c r="C43" s="49">
        <f>SUM(D43:K43)</f>
        <v>27513228</v>
      </c>
      <c r="D43" s="50">
        <v>285810</v>
      </c>
      <c r="E43" s="50">
        <v>3275791</v>
      </c>
      <c r="F43" s="50">
        <v>699</v>
      </c>
      <c r="G43" s="50">
        <v>10046392</v>
      </c>
      <c r="H43" s="50">
        <v>1458220</v>
      </c>
      <c r="I43" s="73">
        <v>2225796</v>
      </c>
      <c r="J43" s="73">
        <v>8376964</v>
      </c>
      <c r="K43" s="74">
        <v>1843556</v>
      </c>
    </row>
    <row r="44" spans="2:11" ht="15.75" x14ac:dyDescent="0.25">
      <c r="B44" s="45" t="s">
        <v>30</v>
      </c>
      <c r="C44" s="49">
        <f>SUM(D44:K44)</f>
        <v>28771435</v>
      </c>
      <c r="D44" s="50">
        <v>273944</v>
      </c>
      <c r="E44" s="50">
        <v>3179465</v>
      </c>
      <c r="F44" s="50">
        <v>0</v>
      </c>
      <c r="G44" s="50">
        <v>11570052</v>
      </c>
      <c r="H44" s="50">
        <v>1335170</v>
      </c>
      <c r="I44" s="73">
        <v>1630442</v>
      </c>
      <c r="J44" s="73">
        <v>8692670</v>
      </c>
      <c r="K44" s="74">
        <v>2089692</v>
      </c>
    </row>
    <row r="45" spans="2:11" ht="15.75" x14ac:dyDescent="0.25">
      <c r="B45" s="45" t="s">
        <v>31</v>
      </c>
      <c r="C45" s="49">
        <f>SUM(D45:K45)</f>
        <v>30849347</v>
      </c>
      <c r="D45" s="50">
        <v>194329</v>
      </c>
      <c r="E45" s="50">
        <v>3255029</v>
      </c>
      <c r="F45" s="50">
        <v>0</v>
      </c>
      <c r="G45" s="50">
        <v>11518760</v>
      </c>
      <c r="H45" s="50">
        <v>1539441</v>
      </c>
      <c r="I45" s="73">
        <v>1893752</v>
      </c>
      <c r="J45" s="73">
        <v>9122191</v>
      </c>
      <c r="K45" s="74">
        <v>3325845</v>
      </c>
    </row>
    <row r="46" spans="2:11" ht="15.75" x14ac:dyDescent="0.25">
      <c r="B46" s="45"/>
      <c r="C46" s="49">
        <f t="shared" ref="C46:H46" si="2">C43+C44+C45</f>
        <v>87134010</v>
      </c>
      <c r="D46" s="50">
        <f t="shared" si="2"/>
        <v>754083</v>
      </c>
      <c r="E46" s="50">
        <f t="shared" si="2"/>
        <v>9710285</v>
      </c>
      <c r="F46" s="50">
        <f t="shared" si="2"/>
        <v>699</v>
      </c>
      <c r="G46" s="50">
        <f t="shared" si="2"/>
        <v>33135204</v>
      </c>
      <c r="H46" s="50">
        <f t="shared" si="2"/>
        <v>4332831</v>
      </c>
      <c r="I46" s="73">
        <f>SUM(I43:I45)</f>
        <v>5749990</v>
      </c>
      <c r="J46" s="73">
        <f>SUM(J43:J45)</f>
        <v>26191825</v>
      </c>
      <c r="K46" s="74">
        <f>K43+K44+K45</f>
        <v>7259093</v>
      </c>
    </row>
    <row r="47" spans="2:11" ht="15.75" x14ac:dyDescent="0.25">
      <c r="B47" s="45" t="s">
        <v>32</v>
      </c>
      <c r="C47" s="49">
        <f>SUM(D47:K47)</f>
        <v>32684569</v>
      </c>
      <c r="D47" s="50">
        <v>390261</v>
      </c>
      <c r="E47" s="50">
        <v>3827052</v>
      </c>
      <c r="F47" s="50">
        <v>0</v>
      </c>
      <c r="G47" s="50">
        <v>12367154</v>
      </c>
      <c r="H47" s="50">
        <v>2127038</v>
      </c>
      <c r="I47" s="73">
        <v>2056676</v>
      </c>
      <c r="J47" s="73">
        <v>10065788</v>
      </c>
      <c r="K47" s="74">
        <v>1850600</v>
      </c>
    </row>
    <row r="48" spans="2:11" ht="15.75" x14ac:dyDescent="0.25">
      <c r="B48" s="45" t="s">
        <v>41</v>
      </c>
      <c r="C48" s="49">
        <f>SUM(D48:K48)</f>
        <v>30714793</v>
      </c>
      <c r="D48" s="50">
        <v>283278</v>
      </c>
      <c r="E48" s="50">
        <v>3808635</v>
      </c>
      <c r="F48" s="50">
        <v>792</v>
      </c>
      <c r="G48" s="50">
        <v>11202018</v>
      </c>
      <c r="H48" s="50">
        <v>1741213</v>
      </c>
      <c r="I48" s="73">
        <v>1353423</v>
      </c>
      <c r="J48" s="73">
        <v>10622444</v>
      </c>
      <c r="K48" s="74">
        <v>1702990</v>
      </c>
    </row>
    <row r="49" spans="2:11" ht="15.75" x14ac:dyDescent="0.25">
      <c r="B49" s="45" t="s">
        <v>34</v>
      </c>
      <c r="C49" s="49">
        <f>SUM(D49:K49)</f>
        <v>30129700</v>
      </c>
      <c r="D49" s="50">
        <v>225114</v>
      </c>
      <c r="E49" s="50">
        <v>3273383</v>
      </c>
      <c r="F49" s="50">
        <v>0</v>
      </c>
      <c r="G49" s="50">
        <v>11225154</v>
      </c>
      <c r="H49" s="50">
        <v>1610858</v>
      </c>
      <c r="I49" s="73">
        <v>2156031</v>
      </c>
      <c r="J49" s="73">
        <v>9853207</v>
      </c>
      <c r="K49" s="74">
        <v>1785953</v>
      </c>
    </row>
    <row r="50" spans="2:11" ht="15.75" x14ac:dyDescent="0.25">
      <c r="B50" s="45"/>
      <c r="C50" s="49">
        <f t="shared" ref="C50:K50" si="3">C47+C48+C49</f>
        <v>93529062</v>
      </c>
      <c r="D50" s="50">
        <f t="shared" si="3"/>
        <v>898653</v>
      </c>
      <c r="E50" s="50">
        <f t="shared" si="3"/>
        <v>10909070</v>
      </c>
      <c r="F50" s="50">
        <f t="shared" si="3"/>
        <v>792</v>
      </c>
      <c r="G50" s="50">
        <f t="shared" si="3"/>
        <v>34794326</v>
      </c>
      <c r="H50" s="50">
        <f t="shared" si="3"/>
        <v>5479109</v>
      </c>
      <c r="I50" s="73">
        <f>SUM(I47:I49)</f>
        <v>5566130</v>
      </c>
      <c r="J50" s="73">
        <f>SUM(J47:J49)</f>
        <v>30541439</v>
      </c>
      <c r="K50" s="74">
        <f t="shared" si="3"/>
        <v>5339543</v>
      </c>
    </row>
    <row r="51" spans="2:11" ht="15.75" x14ac:dyDescent="0.25">
      <c r="B51" s="45" t="s">
        <v>35</v>
      </c>
      <c r="C51" s="49">
        <f>SUM(D51:K51)</f>
        <v>30761865</v>
      </c>
      <c r="D51" s="50">
        <v>225604</v>
      </c>
      <c r="E51" s="50">
        <v>3181639</v>
      </c>
      <c r="F51" s="50">
        <v>695</v>
      </c>
      <c r="G51" s="50">
        <v>11928892</v>
      </c>
      <c r="H51" s="50">
        <v>1811112</v>
      </c>
      <c r="I51" s="73">
        <v>2037565</v>
      </c>
      <c r="J51" s="73">
        <v>9806324</v>
      </c>
      <c r="K51" s="74">
        <v>1770034</v>
      </c>
    </row>
    <row r="52" spans="2:11" ht="15.75" x14ac:dyDescent="0.25">
      <c r="B52" s="45" t="s">
        <v>36</v>
      </c>
      <c r="C52" s="49">
        <f>SUM(D52:K52)</f>
        <v>27256331</v>
      </c>
      <c r="D52" s="50">
        <v>191779</v>
      </c>
      <c r="E52" s="50">
        <v>2814667</v>
      </c>
      <c r="F52" s="50">
        <v>3982</v>
      </c>
      <c r="G52" s="50">
        <v>9608117</v>
      </c>
      <c r="H52" s="50">
        <v>1493137</v>
      </c>
      <c r="I52" s="73">
        <v>1807145</v>
      </c>
      <c r="J52" s="73">
        <v>9532983</v>
      </c>
      <c r="K52" s="74">
        <v>1804521</v>
      </c>
    </row>
    <row r="53" spans="2:11" ht="15.75" x14ac:dyDescent="0.25">
      <c r="B53" s="45" t="s">
        <v>37</v>
      </c>
      <c r="C53" s="49">
        <f>SUM(D53:K53)</f>
        <v>30450486</v>
      </c>
      <c r="D53" s="50">
        <v>260935</v>
      </c>
      <c r="E53" s="50">
        <v>3382164</v>
      </c>
      <c r="F53" s="50">
        <v>0</v>
      </c>
      <c r="G53" s="50">
        <v>10209944</v>
      </c>
      <c r="H53" s="50">
        <v>1679329</v>
      </c>
      <c r="I53" s="73">
        <v>1597328</v>
      </c>
      <c r="J53" s="73">
        <v>11512288</v>
      </c>
      <c r="K53" s="74">
        <v>1808498</v>
      </c>
    </row>
    <row r="54" spans="2:11" ht="15.75" x14ac:dyDescent="0.25">
      <c r="B54" s="45"/>
      <c r="C54" s="49">
        <f t="shared" ref="C54:K54" si="4">C51+C52+C53</f>
        <v>88468682</v>
      </c>
      <c r="D54" s="50">
        <f t="shared" si="4"/>
        <v>678318</v>
      </c>
      <c r="E54" s="50">
        <f t="shared" si="4"/>
        <v>9378470</v>
      </c>
      <c r="F54" s="50">
        <f t="shared" si="4"/>
        <v>4677</v>
      </c>
      <c r="G54" s="50">
        <f t="shared" si="4"/>
        <v>31746953</v>
      </c>
      <c r="H54" s="50">
        <f t="shared" si="4"/>
        <v>4983578</v>
      </c>
      <c r="I54" s="73">
        <f>SUM(I51:I53)</f>
        <v>5442038</v>
      </c>
      <c r="J54" s="75">
        <f>SUM(J51:J53)</f>
        <v>30851595</v>
      </c>
      <c r="K54" s="74">
        <f t="shared" si="4"/>
        <v>5383053</v>
      </c>
    </row>
    <row r="55" spans="2:11" ht="15" x14ac:dyDescent="0.25">
      <c r="B55" s="70" t="s">
        <v>38</v>
      </c>
      <c r="C55" s="49">
        <f t="shared" ref="C55:K55" si="5">C39+C40+C41+C43+C44+C45+C47+C48+C49+C51+C52+C53</f>
        <v>352035715</v>
      </c>
      <c r="D55" s="50">
        <f t="shared" si="5"/>
        <v>2972435</v>
      </c>
      <c r="E55" s="50">
        <f t="shared" si="5"/>
        <v>39138222</v>
      </c>
      <c r="F55" s="50">
        <f t="shared" si="5"/>
        <v>18156</v>
      </c>
      <c r="G55" s="50">
        <f t="shared" si="5"/>
        <v>128030516</v>
      </c>
      <c r="H55" s="50">
        <f t="shared" si="5"/>
        <v>19265619</v>
      </c>
      <c r="I55" s="50">
        <f t="shared" si="5"/>
        <v>23004068</v>
      </c>
      <c r="J55" s="51">
        <f t="shared" si="5"/>
        <v>116207142</v>
      </c>
      <c r="K55" s="69">
        <f t="shared" si="5"/>
        <v>23399557</v>
      </c>
    </row>
    <row r="56" spans="2:11" ht="16.5" thickBot="1" x14ac:dyDescent="0.3">
      <c r="B56" s="58"/>
      <c r="C56" s="26"/>
      <c r="D56" s="27"/>
      <c r="E56" s="27"/>
      <c r="F56" s="27"/>
      <c r="G56" s="27"/>
      <c r="H56" s="27"/>
      <c r="I56" s="27"/>
      <c r="J56" s="28"/>
      <c r="K56" s="67"/>
    </row>
    <row r="57" spans="2:11" ht="16.5" thickTop="1" x14ac:dyDescent="0.25">
      <c r="B57" s="1"/>
      <c r="C57" s="59"/>
      <c r="D57" s="60"/>
      <c r="E57" s="60"/>
      <c r="F57" s="60"/>
      <c r="G57" s="60"/>
      <c r="H57" s="60"/>
      <c r="I57" s="60"/>
      <c r="J57" s="60"/>
      <c r="K57" s="60"/>
    </row>
    <row r="58" spans="2:11" ht="15.75" x14ac:dyDescent="0.25">
      <c r="B58" s="33" t="s">
        <v>23</v>
      </c>
      <c r="C58" s="59"/>
      <c r="D58" s="60"/>
      <c r="E58" s="60"/>
      <c r="F58" s="60"/>
      <c r="G58" s="60"/>
      <c r="H58" s="60"/>
      <c r="I58" s="60"/>
      <c r="J58" s="60"/>
      <c r="K58" s="60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58"/>
  <sheetViews>
    <sheetView topLeftCell="A4" workbookViewId="0">
      <selection activeCell="D27" sqref="D27:K27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2" spans="2:11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</row>
    <row r="3" spans="2:11" ht="15.75" x14ac:dyDescent="0.25">
      <c r="B3" s="1"/>
      <c r="C3" s="5"/>
      <c r="D3" s="2"/>
      <c r="E3" s="2"/>
      <c r="F3" s="2"/>
      <c r="G3" s="2" t="s">
        <v>1</v>
      </c>
      <c r="H3" s="9"/>
      <c r="I3" s="2"/>
      <c r="J3" s="2"/>
      <c r="K3" s="2"/>
    </row>
    <row r="4" spans="2:11" ht="15.75" x14ac:dyDescent="0.25">
      <c r="B4" s="6" t="s">
        <v>52</v>
      </c>
      <c r="C4" s="3"/>
      <c r="D4" s="3"/>
      <c r="E4" s="7"/>
      <c r="F4" s="3"/>
      <c r="G4" s="7"/>
      <c r="H4" s="7"/>
      <c r="I4" s="7"/>
      <c r="J4" s="7"/>
      <c r="K4" s="7"/>
    </row>
    <row r="5" spans="2:11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9"/>
    </row>
    <row r="6" spans="2:11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63" t="s">
        <v>11</v>
      </c>
    </row>
    <row r="7" spans="2:11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64"/>
    </row>
    <row r="8" spans="2:11" ht="15.75" x14ac:dyDescent="0.25">
      <c r="B8" s="20" t="s">
        <v>13</v>
      </c>
      <c r="C8" s="16">
        <f>D8+E8+F8+G8+H8+I8+J8+K8</f>
        <v>177604152</v>
      </c>
      <c r="D8" s="17">
        <v>2436541</v>
      </c>
      <c r="E8" s="17">
        <v>19822953</v>
      </c>
      <c r="F8" s="17">
        <v>40915</v>
      </c>
      <c r="G8" s="17">
        <v>71333775</v>
      </c>
      <c r="H8" s="17">
        <v>378729</v>
      </c>
      <c r="I8" s="17">
        <v>16479782</v>
      </c>
      <c r="J8" s="17">
        <v>53752026</v>
      </c>
      <c r="K8" s="64">
        <v>13359431</v>
      </c>
    </row>
    <row r="9" spans="2:11" ht="15.75" x14ac:dyDescent="0.25">
      <c r="B9" s="20"/>
      <c r="C9" s="16"/>
      <c r="D9" s="17"/>
      <c r="E9" s="17"/>
      <c r="F9" s="17"/>
      <c r="G9" s="17"/>
      <c r="H9" s="17"/>
      <c r="I9" s="17"/>
      <c r="J9" s="17"/>
      <c r="K9" s="64"/>
    </row>
    <row r="10" spans="2:11" ht="15.75" x14ac:dyDescent="0.25">
      <c r="B10" s="20" t="s">
        <v>14</v>
      </c>
      <c r="C10" s="16">
        <f>D10+E10+F10+G10+H10+I10+J10+K10</f>
        <v>8679656</v>
      </c>
      <c r="D10" s="17">
        <v>59359</v>
      </c>
      <c r="E10" s="17">
        <v>1054217</v>
      </c>
      <c r="F10" s="17">
        <v>8575</v>
      </c>
      <c r="G10" s="17">
        <v>2401066</v>
      </c>
      <c r="H10" s="17">
        <v>5156439</v>
      </c>
      <c r="I10" s="17">
        <v>0</v>
      </c>
      <c r="J10" s="17">
        <v>0</v>
      </c>
      <c r="K10" s="64">
        <v>0</v>
      </c>
    </row>
    <row r="11" spans="2:11" ht="15.75" x14ac:dyDescent="0.25">
      <c r="B11" s="20"/>
      <c r="C11" s="16"/>
      <c r="D11" s="17"/>
      <c r="E11" s="17"/>
      <c r="F11" s="17"/>
      <c r="G11" s="17"/>
      <c r="H11" s="17"/>
      <c r="I11" s="17"/>
      <c r="J11" s="17"/>
      <c r="K11" s="64"/>
    </row>
    <row r="12" spans="2:11" ht="15.75" x14ac:dyDescent="0.25">
      <c r="B12" s="20" t="s">
        <v>15</v>
      </c>
      <c r="C12" s="16">
        <f>D12+E12+F12+G12+H12+I12+J12+K12</f>
        <v>96981298</v>
      </c>
      <c r="D12" s="17">
        <v>902128</v>
      </c>
      <c r="E12" s="17">
        <v>9813196</v>
      </c>
      <c r="F12" s="17">
        <v>0</v>
      </c>
      <c r="G12" s="17">
        <v>31365481</v>
      </c>
      <c r="H12" s="17">
        <v>2503582</v>
      </c>
      <c r="I12" s="17">
        <v>5963938</v>
      </c>
      <c r="J12" s="17">
        <v>40289774</v>
      </c>
      <c r="K12" s="64">
        <v>6143199</v>
      </c>
    </row>
    <row r="13" spans="2:11" ht="15.75" x14ac:dyDescent="0.25">
      <c r="B13" s="20" t="s">
        <v>16</v>
      </c>
      <c r="C13" s="16">
        <f>D13+E13+F13+G13+H13+I13+J13+K13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64">
        <v>0</v>
      </c>
    </row>
    <row r="14" spans="2:11" ht="15.75" x14ac:dyDescent="0.25">
      <c r="B14" s="20"/>
      <c r="C14" s="16"/>
      <c r="D14" s="17"/>
      <c r="E14" s="17"/>
      <c r="F14" s="17"/>
      <c r="G14" s="17"/>
      <c r="H14" s="17"/>
      <c r="I14" s="17"/>
      <c r="J14" s="17"/>
      <c r="K14" s="64"/>
    </row>
    <row r="15" spans="2:11" ht="15.75" x14ac:dyDescent="0.25">
      <c r="B15" s="20" t="s">
        <v>17</v>
      </c>
      <c r="C15" s="16">
        <f>D15+E15+F15+G15+H15+I15+J15+K15</f>
        <v>5846372</v>
      </c>
      <c r="D15" s="17">
        <v>10017</v>
      </c>
      <c r="E15" s="17">
        <v>616781</v>
      </c>
      <c r="F15" s="17">
        <v>0</v>
      </c>
      <c r="G15" s="17">
        <v>2017443</v>
      </c>
      <c r="H15" s="17">
        <v>3202131</v>
      </c>
      <c r="I15" s="17">
        <v>0</v>
      </c>
      <c r="J15" s="17">
        <v>0</v>
      </c>
      <c r="K15" s="64">
        <v>0</v>
      </c>
    </row>
    <row r="16" spans="2:11" ht="15.75" x14ac:dyDescent="0.25">
      <c r="B16" s="20"/>
      <c r="C16" s="16"/>
      <c r="D16" s="17"/>
      <c r="E16" s="17"/>
      <c r="F16" s="17"/>
      <c r="G16" s="17"/>
      <c r="H16" s="17"/>
      <c r="I16" s="17"/>
      <c r="J16" s="17"/>
      <c r="K16" s="64"/>
    </row>
    <row r="17" spans="2:11" ht="15.75" x14ac:dyDescent="0.25">
      <c r="B17" s="20" t="s">
        <v>18</v>
      </c>
      <c r="C17" s="16">
        <f>D17+E17+F17+G17+H17+I17+J17+K17</f>
        <v>14694339</v>
      </c>
      <c r="D17" s="17">
        <v>120294</v>
      </c>
      <c r="E17" s="17">
        <v>1168071</v>
      </c>
      <c r="F17" s="17">
        <v>0</v>
      </c>
      <c r="G17" s="17">
        <v>5672334</v>
      </c>
      <c r="H17" s="17">
        <v>7363630</v>
      </c>
      <c r="I17" s="17">
        <v>370010</v>
      </c>
      <c r="J17" s="17">
        <v>0</v>
      </c>
      <c r="K17" s="64">
        <v>0</v>
      </c>
    </row>
    <row r="18" spans="2:11" ht="15.75" x14ac:dyDescent="0.25">
      <c r="B18" s="20"/>
      <c r="C18" s="16"/>
      <c r="D18" s="17"/>
      <c r="E18" s="17"/>
      <c r="F18" s="17"/>
      <c r="G18" s="17"/>
      <c r="H18" s="17"/>
      <c r="I18" s="17"/>
      <c r="J18" s="17"/>
      <c r="K18" s="64"/>
    </row>
    <row r="19" spans="2:11" ht="15.75" x14ac:dyDescent="0.25">
      <c r="B19" s="20" t="s">
        <v>19</v>
      </c>
      <c r="C19" s="16">
        <f>D19+E19+F19+G19+H19+I19+J19+K19</f>
        <v>28523395</v>
      </c>
      <c r="D19" s="17">
        <v>141984</v>
      </c>
      <c r="E19" s="17">
        <v>2670927</v>
      </c>
      <c r="F19" s="17">
        <v>0</v>
      </c>
      <c r="G19" s="17">
        <v>9281977</v>
      </c>
      <c r="H19" s="17">
        <v>458459</v>
      </c>
      <c r="I19" s="17">
        <v>1623364</v>
      </c>
      <c r="J19" s="17">
        <v>10756923</v>
      </c>
      <c r="K19" s="64">
        <v>3589761</v>
      </c>
    </row>
    <row r="20" spans="2:11" ht="15.75" x14ac:dyDescent="0.25">
      <c r="B20" s="20"/>
      <c r="C20" s="16"/>
      <c r="D20" s="17"/>
      <c r="E20" s="17"/>
      <c r="F20" s="17"/>
      <c r="G20" s="17"/>
      <c r="H20" s="17"/>
      <c r="I20" s="17"/>
      <c r="J20" s="17"/>
      <c r="K20" s="64"/>
    </row>
    <row r="21" spans="2:11" ht="15.75" x14ac:dyDescent="0.25">
      <c r="B21" s="20" t="s">
        <v>20</v>
      </c>
      <c r="C21" s="16">
        <f>D21+E21+F21+G21+H21+I21+J21+K21</f>
        <v>20869298</v>
      </c>
      <c r="D21" s="17">
        <v>131931</v>
      </c>
      <c r="E21" s="17">
        <v>2220416</v>
      </c>
      <c r="F21" s="17">
        <v>0</v>
      </c>
      <c r="G21" s="17">
        <v>9056410</v>
      </c>
      <c r="H21" s="17">
        <v>299264</v>
      </c>
      <c r="I21" s="17">
        <v>549922</v>
      </c>
      <c r="J21" s="17">
        <v>8611355</v>
      </c>
      <c r="K21" s="64">
        <v>0</v>
      </c>
    </row>
    <row r="22" spans="2:11" ht="15.75" x14ac:dyDescent="0.25">
      <c r="B22" s="20"/>
      <c r="C22" s="16"/>
      <c r="D22" s="17"/>
      <c r="E22" s="17"/>
      <c r="F22" s="17"/>
      <c r="G22" s="17"/>
      <c r="H22" s="17"/>
      <c r="I22" s="17"/>
      <c r="J22" s="17"/>
      <c r="K22" s="64"/>
    </row>
    <row r="23" spans="2:11" ht="15.75" x14ac:dyDescent="0.25">
      <c r="B23" s="20" t="s">
        <v>21</v>
      </c>
      <c r="C23" s="16">
        <f>D23+E23+F23+G23+H23+I23+J23+K23</f>
        <v>4770430</v>
      </c>
      <c r="D23" s="17">
        <v>31383</v>
      </c>
      <c r="E23" s="17">
        <v>553912</v>
      </c>
      <c r="F23" s="17">
        <v>0</v>
      </c>
      <c r="G23" s="17">
        <v>2554152</v>
      </c>
      <c r="H23" s="17">
        <v>1630983</v>
      </c>
      <c r="I23" s="17">
        <v>0</v>
      </c>
      <c r="J23" s="17">
        <v>0</v>
      </c>
      <c r="K23" s="64">
        <v>0</v>
      </c>
    </row>
    <row r="24" spans="2:11" ht="15.75" x14ac:dyDescent="0.25">
      <c r="B24" s="20"/>
      <c r="C24" s="16"/>
      <c r="D24" s="17"/>
      <c r="E24" s="17"/>
      <c r="F24" s="17"/>
      <c r="G24" s="17"/>
      <c r="H24" s="17"/>
      <c r="I24" s="17"/>
      <c r="J24" s="17"/>
      <c r="K24" s="64"/>
    </row>
    <row r="25" spans="2:11" ht="15.75" x14ac:dyDescent="0.25">
      <c r="B25" s="20" t="s">
        <v>22</v>
      </c>
      <c r="C25" s="16">
        <f>D25+E25+F25+G25+H25+I25+J25+K25</f>
        <v>648461</v>
      </c>
      <c r="D25" s="17">
        <v>0</v>
      </c>
      <c r="E25" s="17">
        <v>33827</v>
      </c>
      <c r="F25" s="17">
        <v>0</v>
      </c>
      <c r="G25" s="17">
        <v>203958</v>
      </c>
      <c r="H25" s="17">
        <v>410676</v>
      </c>
      <c r="I25" s="17">
        <v>0</v>
      </c>
      <c r="J25" s="17">
        <v>0</v>
      </c>
      <c r="K25" s="64">
        <v>0</v>
      </c>
    </row>
    <row r="26" spans="2:11" ht="15.75" x14ac:dyDescent="0.25">
      <c r="B26" s="20"/>
      <c r="C26" s="16"/>
      <c r="D26" s="17"/>
      <c r="E26" s="17"/>
      <c r="F26" s="17"/>
      <c r="G26" s="17"/>
      <c r="H26" s="17"/>
      <c r="I26" s="17"/>
      <c r="J26" s="17"/>
      <c r="K26" s="64"/>
    </row>
    <row r="27" spans="2:11" ht="15.75" x14ac:dyDescent="0.25">
      <c r="B27" s="65" t="s">
        <v>3</v>
      </c>
      <c r="C27" s="16">
        <f>C8+C10+C12+C13+C15+C17+C19+C21+C23+C25</f>
        <v>358617401</v>
      </c>
      <c r="D27" s="16">
        <f t="shared" ref="D27:K27" si="0">D8+D10+D12+D13+D15+D17+D19+D21+D23+D25</f>
        <v>3833637</v>
      </c>
      <c r="E27" s="16">
        <f t="shared" si="0"/>
        <v>37954300</v>
      </c>
      <c r="F27" s="16">
        <f t="shared" si="0"/>
        <v>49490</v>
      </c>
      <c r="G27" s="16">
        <f t="shared" si="0"/>
        <v>133886596</v>
      </c>
      <c r="H27" s="16">
        <f t="shared" si="0"/>
        <v>21403893</v>
      </c>
      <c r="I27" s="16">
        <f t="shared" si="0"/>
        <v>24987016</v>
      </c>
      <c r="J27" s="16">
        <f t="shared" si="0"/>
        <v>113410078</v>
      </c>
      <c r="K27" s="66">
        <f t="shared" si="0"/>
        <v>23092391</v>
      </c>
    </row>
    <row r="28" spans="2:11" ht="16.5" thickBot="1" x14ac:dyDescent="0.3">
      <c r="B28" s="25"/>
      <c r="C28" s="26"/>
      <c r="D28" s="27"/>
      <c r="E28" s="27"/>
      <c r="F28" s="27"/>
      <c r="G28" s="27"/>
      <c r="H28" s="27"/>
      <c r="I28" s="27"/>
      <c r="J28" s="27"/>
      <c r="K28" s="67"/>
    </row>
    <row r="29" spans="2:11" ht="16.5" thickTop="1" x14ac:dyDescent="0.25">
      <c r="B29" s="1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5.75" x14ac:dyDescent="0.25">
      <c r="B30" s="33" t="s">
        <v>23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2:11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2" t="s">
        <v>0</v>
      </c>
      <c r="C33" s="3"/>
      <c r="D33" s="3"/>
      <c r="E33" s="7"/>
      <c r="F33" s="3"/>
      <c r="G33" s="7"/>
      <c r="H33" s="7"/>
      <c r="I33" s="7"/>
      <c r="J33" s="7"/>
      <c r="K33" s="7"/>
    </row>
    <row r="34" spans="2:11" ht="15.75" x14ac:dyDescent="0.25">
      <c r="B34" s="1"/>
      <c r="C34" s="36"/>
      <c r="E34" s="38"/>
      <c r="F34" s="38"/>
      <c r="G34" s="39" t="s">
        <v>1</v>
      </c>
      <c r="H34" s="38"/>
      <c r="I34" s="38"/>
      <c r="J34" s="38"/>
      <c r="K34" s="38"/>
    </row>
    <row r="35" spans="2:11" ht="15.75" x14ac:dyDescent="0.25">
      <c r="B35" s="6" t="s">
        <v>52</v>
      </c>
      <c r="C35" s="3"/>
      <c r="D35" s="3"/>
      <c r="E35" s="7"/>
      <c r="F35" s="3"/>
      <c r="G35" s="7"/>
      <c r="H35" s="7"/>
      <c r="I35" s="7"/>
      <c r="J35" s="7"/>
      <c r="K35" s="7"/>
    </row>
    <row r="36" spans="2:11" ht="16.5" thickBot="1" x14ac:dyDescent="0.3">
      <c r="B36" s="1"/>
      <c r="C36" s="36"/>
      <c r="D36" s="38"/>
      <c r="E36" s="38"/>
      <c r="F36" s="38"/>
      <c r="G36" s="38"/>
      <c r="H36" s="38"/>
      <c r="I36" s="38"/>
      <c r="J36" s="38"/>
      <c r="K36" s="38"/>
    </row>
    <row r="37" spans="2:11" ht="16.5" thickTop="1" x14ac:dyDescent="0.25">
      <c r="B37" s="41" t="s">
        <v>24</v>
      </c>
      <c r="C37" s="42" t="s">
        <v>3</v>
      </c>
      <c r="D37" s="62" t="s">
        <v>43</v>
      </c>
      <c r="E37" s="62" t="s">
        <v>40</v>
      </c>
      <c r="F37" s="43" t="s">
        <v>6</v>
      </c>
      <c r="G37" s="43" t="s">
        <v>7</v>
      </c>
      <c r="H37" s="43" t="s">
        <v>8</v>
      </c>
      <c r="I37" s="43" t="s">
        <v>25</v>
      </c>
      <c r="J37" s="44" t="s">
        <v>10</v>
      </c>
      <c r="K37" s="63" t="s">
        <v>11</v>
      </c>
    </row>
    <row r="38" spans="2:11" ht="15.75" x14ac:dyDescent="0.25">
      <c r="B38" s="45"/>
      <c r="C38" s="46"/>
      <c r="D38" s="47"/>
      <c r="E38" s="47"/>
      <c r="F38" s="47"/>
      <c r="G38" s="47"/>
      <c r="H38" s="47"/>
      <c r="I38" s="47"/>
      <c r="J38" s="48"/>
      <c r="K38" s="68"/>
    </row>
    <row r="39" spans="2:11" ht="15.75" x14ac:dyDescent="0.25">
      <c r="B39" s="45" t="s">
        <v>26</v>
      </c>
      <c r="C39" s="49">
        <f>SUM(D39:K39)</f>
        <v>26074151</v>
      </c>
      <c r="D39" s="50">
        <v>196292</v>
      </c>
      <c r="E39" s="50">
        <v>2772553</v>
      </c>
      <c r="F39" s="50">
        <v>5488</v>
      </c>
      <c r="G39" s="50">
        <v>9093523</v>
      </c>
      <c r="H39" s="50">
        <v>1726669</v>
      </c>
      <c r="I39" s="73">
        <v>1878891</v>
      </c>
      <c r="J39" s="73">
        <v>8572627</v>
      </c>
      <c r="K39" s="74">
        <v>1828108</v>
      </c>
    </row>
    <row r="40" spans="2:11" ht="15.75" x14ac:dyDescent="0.25">
      <c r="B40" s="45" t="s">
        <v>27</v>
      </c>
      <c r="C40" s="49">
        <f>SUM(D40:K40)</f>
        <v>26969245</v>
      </c>
      <c r="D40" s="50">
        <v>282997</v>
      </c>
      <c r="E40" s="50">
        <v>2810665</v>
      </c>
      <c r="F40" s="50">
        <v>0</v>
      </c>
      <c r="G40" s="50">
        <v>9937854</v>
      </c>
      <c r="H40" s="50">
        <v>1593797</v>
      </c>
      <c r="I40" s="73">
        <v>2087356</v>
      </c>
      <c r="J40" s="73">
        <v>8446904</v>
      </c>
      <c r="K40" s="74">
        <v>1809672</v>
      </c>
    </row>
    <row r="41" spans="2:11" ht="15.75" x14ac:dyDescent="0.25">
      <c r="B41" s="45" t="s">
        <v>28</v>
      </c>
      <c r="C41" s="49">
        <f>SUM(D41:K41)</f>
        <v>29101779</v>
      </c>
      <c r="D41" s="50">
        <v>231117</v>
      </c>
      <c r="E41" s="50">
        <v>3175535</v>
      </c>
      <c r="F41" s="50">
        <v>0</v>
      </c>
      <c r="G41" s="50">
        <v>10972335</v>
      </c>
      <c r="H41" s="50">
        <v>1715081</v>
      </c>
      <c r="I41" s="73">
        <v>2553049</v>
      </c>
      <c r="J41" s="73">
        <v>8670048</v>
      </c>
      <c r="K41" s="74">
        <v>1784614</v>
      </c>
    </row>
    <row r="42" spans="2:11" ht="15.75" x14ac:dyDescent="0.25">
      <c r="B42" s="45"/>
      <c r="C42" s="49">
        <f t="shared" ref="C42:H42" si="1">C39+C40+C41</f>
        <v>82145175</v>
      </c>
      <c r="D42" s="50">
        <f t="shared" si="1"/>
        <v>710406</v>
      </c>
      <c r="E42" s="50">
        <f t="shared" si="1"/>
        <v>8758753</v>
      </c>
      <c r="F42" s="50">
        <f t="shared" si="1"/>
        <v>5488</v>
      </c>
      <c r="G42" s="50">
        <f t="shared" si="1"/>
        <v>30003712</v>
      </c>
      <c r="H42" s="50">
        <f t="shared" si="1"/>
        <v>5035547</v>
      </c>
      <c r="I42" s="73">
        <f>SUM(I39:I41)</f>
        <v>6519296</v>
      </c>
      <c r="J42" s="73">
        <f>SUM(J39:J41)</f>
        <v>25689579</v>
      </c>
      <c r="K42" s="74">
        <f>K39+K40+K41</f>
        <v>5422394</v>
      </c>
    </row>
    <row r="43" spans="2:11" ht="15.75" x14ac:dyDescent="0.25">
      <c r="B43" s="45" t="s">
        <v>29</v>
      </c>
      <c r="C43" s="49">
        <f>SUM(D43:K43)</f>
        <v>29585700</v>
      </c>
      <c r="D43" s="50">
        <v>249022</v>
      </c>
      <c r="E43" s="50">
        <v>3307702</v>
      </c>
      <c r="F43" s="50">
        <v>2894</v>
      </c>
      <c r="G43" s="50">
        <v>11790382</v>
      </c>
      <c r="H43" s="50">
        <v>1544002</v>
      </c>
      <c r="I43" s="73">
        <v>2006422</v>
      </c>
      <c r="J43" s="73">
        <v>8890829</v>
      </c>
      <c r="K43" s="74">
        <v>1794447</v>
      </c>
    </row>
    <row r="44" spans="2:11" ht="15.75" x14ac:dyDescent="0.25">
      <c r="B44" s="45" t="s">
        <v>30</v>
      </c>
      <c r="C44" s="49">
        <f>SUM(D44:K44)</f>
        <v>28969496</v>
      </c>
      <c r="D44" s="50">
        <v>242469</v>
      </c>
      <c r="E44" s="50">
        <v>3109780</v>
      </c>
      <c r="F44" s="50">
        <v>16654</v>
      </c>
      <c r="G44" s="50">
        <v>11745850</v>
      </c>
      <c r="H44" s="50">
        <v>1509976</v>
      </c>
      <c r="I44" s="73">
        <v>2200433</v>
      </c>
      <c r="J44" s="73">
        <v>8343550</v>
      </c>
      <c r="K44" s="74">
        <v>1800784</v>
      </c>
    </row>
    <row r="45" spans="2:11" ht="15.75" x14ac:dyDescent="0.25">
      <c r="B45" s="45" t="s">
        <v>31</v>
      </c>
      <c r="C45" s="49">
        <f>SUM(D45:K45)</f>
        <v>30833712</v>
      </c>
      <c r="D45" s="50">
        <v>1030896</v>
      </c>
      <c r="E45" s="50">
        <v>2458654</v>
      </c>
      <c r="F45" s="50">
        <v>11638</v>
      </c>
      <c r="G45" s="50">
        <v>11702240</v>
      </c>
      <c r="H45" s="50">
        <v>1719273</v>
      </c>
      <c r="I45" s="73">
        <v>2790414</v>
      </c>
      <c r="J45" s="73">
        <v>9286289</v>
      </c>
      <c r="K45" s="74">
        <v>1834308</v>
      </c>
    </row>
    <row r="46" spans="2:11" ht="15.75" x14ac:dyDescent="0.25">
      <c r="B46" s="45"/>
      <c r="C46" s="49">
        <f t="shared" ref="C46:H46" si="2">C43+C44+C45</f>
        <v>89388908</v>
      </c>
      <c r="D46" s="50">
        <f t="shared" si="2"/>
        <v>1522387</v>
      </c>
      <c r="E46" s="50">
        <f t="shared" si="2"/>
        <v>8876136</v>
      </c>
      <c r="F46" s="50">
        <f t="shared" si="2"/>
        <v>31186</v>
      </c>
      <c r="G46" s="50">
        <f t="shared" si="2"/>
        <v>35238472</v>
      </c>
      <c r="H46" s="50">
        <f t="shared" si="2"/>
        <v>4773251</v>
      </c>
      <c r="I46" s="73">
        <f>SUM(I43:I45)</f>
        <v>6997269</v>
      </c>
      <c r="J46" s="73">
        <f>SUM(J43:J45)</f>
        <v>26520668</v>
      </c>
      <c r="K46" s="74">
        <f>K43+K44+K45</f>
        <v>5429539</v>
      </c>
    </row>
    <row r="47" spans="2:11" ht="15.75" x14ac:dyDescent="0.25">
      <c r="B47" s="45" t="s">
        <v>32</v>
      </c>
      <c r="C47" s="49">
        <f>SUM(D47:K47)</f>
        <v>33881390</v>
      </c>
      <c r="D47" s="50">
        <v>256786</v>
      </c>
      <c r="E47" s="50">
        <v>3783002</v>
      </c>
      <c r="F47" s="50">
        <v>1087</v>
      </c>
      <c r="G47" s="50">
        <v>12418283</v>
      </c>
      <c r="H47" s="50">
        <v>1929999</v>
      </c>
      <c r="I47" s="73">
        <v>2158566</v>
      </c>
      <c r="J47" s="73">
        <v>9793938</v>
      </c>
      <c r="K47" s="74">
        <v>3539729</v>
      </c>
    </row>
    <row r="48" spans="2:11" ht="15.75" x14ac:dyDescent="0.25">
      <c r="B48" s="45" t="s">
        <v>41</v>
      </c>
      <c r="C48" s="49">
        <f>SUM(D48:K48)</f>
        <v>31949827</v>
      </c>
      <c r="D48" s="50">
        <v>297228</v>
      </c>
      <c r="E48" s="50">
        <v>3773500</v>
      </c>
      <c r="F48" s="50">
        <v>695</v>
      </c>
      <c r="G48" s="50">
        <v>11319183</v>
      </c>
      <c r="H48" s="50">
        <v>2420914</v>
      </c>
      <c r="I48" s="73">
        <v>1564246</v>
      </c>
      <c r="J48" s="73">
        <v>10866303</v>
      </c>
      <c r="K48" s="74">
        <v>1707758</v>
      </c>
    </row>
    <row r="49" spans="2:11" ht="15.75" x14ac:dyDescent="0.25">
      <c r="B49" s="45" t="s">
        <v>34</v>
      </c>
      <c r="C49" s="49">
        <f>SUM(D49:K49)</f>
        <v>32982321</v>
      </c>
      <c r="D49" s="50">
        <v>382760</v>
      </c>
      <c r="E49" s="50">
        <v>3682579</v>
      </c>
      <c r="F49" s="50">
        <v>0</v>
      </c>
      <c r="G49" s="50">
        <v>12479490</v>
      </c>
      <c r="H49" s="50">
        <v>2040731</v>
      </c>
      <c r="I49" s="73">
        <v>2632927</v>
      </c>
      <c r="J49" s="73">
        <v>9991503</v>
      </c>
      <c r="K49" s="74">
        <v>1772331</v>
      </c>
    </row>
    <row r="50" spans="2:11" ht="15.75" x14ac:dyDescent="0.25">
      <c r="B50" s="45"/>
      <c r="C50" s="49">
        <f t="shared" ref="C50:K50" si="3">C47+C48+C49</f>
        <v>98813538</v>
      </c>
      <c r="D50" s="50">
        <f t="shared" si="3"/>
        <v>936774</v>
      </c>
      <c r="E50" s="50">
        <f t="shared" si="3"/>
        <v>11239081</v>
      </c>
      <c r="F50" s="50">
        <f t="shared" si="3"/>
        <v>1782</v>
      </c>
      <c r="G50" s="50">
        <f t="shared" si="3"/>
        <v>36216956</v>
      </c>
      <c r="H50" s="50">
        <f t="shared" si="3"/>
        <v>6391644</v>
      </c>
      <c r="I50" s="73">
        <f>SUM(I47:I49)</f>
        <v>6355739</v>
      </c>
      <c r="J50" s="73">
        <f>SUM(J47:J49)</f>
        <v>30651744</v>
      </c>
      <c r="K50" s="74">
        <f t="shared" si="3"/>
        <v>7019818</v>
      </c>
    </row>
    <row r="51" spans="2:11" ht="15.75" x14ac:dyDescent="0.25">
      <c r="B51" s="45" t="s">
        <v>35</v>
      </c>
      <c r="C51" s="49">
        <f>SUM(D51:K51)</f>
        <v>30859971</v>
      </c>
      <c r="D51" s="50">
        <v>244100</v>
      </c>
      <c r="E51" s="50">
        <v>2974288</v>
      </c>
      <c r="F51" s="50">
        <v>2986</v>
      </c>
      <c r="G51" s="50">
        <v>11379072</v>
      </c>
      <c r="H51" s="50">
        <v>1629369</v>
      </c>
      <c r="I51" s="73">
        <v>1613256</v>
      </c>
      <c r="J51" s="73">
        <v>11385409</v>
      </c>
      <c r="K51" s="74">
        <v>1631491</v>
      </c>
    </row>
    <row r="52" spans="2:11" ht="15.75" x14ac:dyDescent="0.25">
      <c r="B52" s="45" t="s">
        <v>36</v>
      </c>
      <c r="C52" s="49">
        <f>SUM(D52:K52)</f>
        <v>28542300</v>
      </c>
      <c r="D52" s="50">
        <v>191435</v>
      </c>
      <c r="E52" s="50">
        <v>2988697</v>
      </c>
      <c r="F52" s="50">
        <v>3845</v>
      </c>
      <c r="G52" s="50">
        <v>11126401</v>
      </c>
      <c r="H52" s="50">
        <v>1638304</v>
      </c>
      <c r="I52" s="73">
        <v>1772356</v>
      </c>
      <c r="J52" s="73">
        <v>9057065</v>
      </c>
      <c r="K52" s="74">
        <v>1764197</v>
      </c>
    </row>
    <row r="53" spans="2:11" ht="15.75" x14ac:dyDescent="0.25">
      <c r="B53" s="45" t="s">
        <v>37</v>
      </c>
      <c r="C53" s="49">
        <f>SUM(D53:K53)</f>
        <v>28867509</v>
      </c>
      <c r="D53" s="50">
        <v>228535</v>
      </c>
      <c r="E53" s="50">
        <v>3117345</v>
      </c>
      <c r="F53" s="50">
        <v>4203</v>
      </c>
      <c r="G53" s="50">
        <v>9921983</v>
      </c>
      <c r="H53" s="50">
        <v>1935778</v>
      </c>
      <c r="I53" s="73">
        <v>1729100</v>
      </c>
      <c r="J53" s="73">
        <v>10105613</v>
      </c>
      <c r="K53" s="74">
        <v>1824952</v>
      </c>
    </row>
    <row r="54" spans="2:11" ht="15.75" x14ac:dyDescent="0.25">
      <c r="B54" s="45"/>
      <c r="C54" s="49">
        <f t="shared" ref="C54:K54" si="4">C51+C52+C53</f>
        <v>88269780</v>
      </c>
      <c r="D54" s="50">
        <f t="shared" si="4"/>
        <v>664070</v>
      </c>
      <c r="E54" s="50">
        <f t="shared" si="4"/>
        <v>9080330</v>
      </c>
      <c r="F54" s="50">
        <f t="shared" si="4"/>
        <v>11034</v>
      </c>
      <c r="G54" s="50">
        <f t="shared" si="4"/>
        <v>32427456</v>
      </c>
      <c r="H54" s="50">
        <f t="shared" si="4"/>
        <v>5203451</v>
      </c>
      <c r="I54" s="73">
        <f>SUM(I51:I53)</f>
        <v>5114712</v>
      </c>
      <c r="J54" s="75">
        <f>SUM(J51:J53)</f>
        <v>30548087</v>
      </c>
      <c r="K54" s="74">
        <f t="shared" si="4"/>
        <v>5220640</v>
      </c>
    </row>
    <row r="55" spans="2:11" ht="15" x14ac:dyDescent="0.25">
      <c r="B55" s="70" t="s">
        <v>38</v>
      </c>
      <c r="C55" s="49">
        <f t="shared" ref="C55:K55" si="5">C39+C40+C41+C43+C44+C45+C47+C48+C49+C51+C52+C53</f>
        <v>358617401</v>
      </c>
      <c r="D55" s="50">
        <f t="shared" si="5"/>
        <v>3833637</v>
      </c>
      <c r="E55" s="50">
        <f t="shared" si="5"/>
        <v>37954300</v>
      </c>
      <c r="F55" s="50">
        <f t="shared" si="5"/>
        <v>49490</v>
      </c>
      <c r="G55" s="50">
        <f t="shared" si="5"/>
        <v>133886596</v>
      </c>
      <c r="H55" s="50">
        <f t="shared" si="5"/>
        <v>21403893</v>
      </c>
      <c r="I55" s="50">
        <f t="shared" si="5"/>
        <v>24987016</v>
      </c>
      <c r="J55" s="51">
        <f t="shared" si="5"/>
        <v>113410078</v>
      </c>
      <c r="K55" s="69">
        <f t="shared" si="5"/>
        <v>23092391</v>
      </c>
    </row>
    <row r="56" spans="2:11" ht="16.5" thickBot="1" x14ac:dyDescent="0.3">
      <c r="B56" s="58"/>
      <c r="C56" s="26"/>
      <c r="D56" s="27"/>
      <c r="E56" s="27"/>
      <c r="F56" s="27"/>
      <c r="G56" s="27"/>
      <c r="H56" s="27"/>
      <c r="I56" s="27"/>
      <c r="J56" s="28"/>
      <c r="K56" s="67"/>
    </row>
    <row r="57" spans="2:11" ht="16.5" thickTop="1" x14ac:dyDescent="0.25">
      <c r="B57" s="1"/>
      <c r="C57" s="59"/>
      <c r="D57" s="60"/>
      <c r="E57" s="60"/>
      <c r="F57" s="60"/>
      <c r="G57" s="60"/>
      <c r="H57" s="60"/>
      <c r="I57" s="60"/>
      <c r="J57" s="60"/>
      <c r="K57" s="60"/>
    </row>
    <row r="58" spans="2:11" ht="15.75" x14ac:dyDescent="0.25">
      <c r="B58" s="33" t="s">
        <v>23</v>
      </c>
      <c r="C58" s="59"/>
      <c r="D58" s="60"/>
      <c r="E58" s="60"/>
      <c r="F58" s="60"/>
      <c r="G58" s="60"/>
      <c r="H58" s="60"/>
      <c r="I58" s="60"/>
      <c r="J58" s="60"/>
      <c r="K58" s="60"/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K58"/>
  <sheetViews>
    <sheetView topLeftCell="A4" workbookViewId="0">
      <selection activeCell="D27" sqref="D27:K27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2" spans="2:11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</row>
    <row r="3" spans="2:11" ht="15.75" x14ac:dyDescent="0.25">
      <c r="B3" s="1"/>
      <c r="C3" s="5"/>
      <c r="D3" s="2"/>
      <c r="E3" s="2"/>
      <c r="F3" s="2"/>
      <c r="G3" s="2" t="s">
        <v>1</v>
      </c>
      <c r="H3" s="9"/>
      <c r="I3" s="2"/>
      <c r="J3" s="2"/>
      <c r="K3" s="2"/>
    </row>
    <row r="4" spans="2:11" ht="15.75" x14ac:dyDescent="0.25">
      <c r="B4" s="6" t="s">
        <v>53</v>
      </c>
      <c r="C4" s="3"/>
      <c r="D4" s="3"/>
      <c r="E4" s="7"/>
      <c r="F4" s="3"/>
      <c r="G4" s="7"/>
      <c r="H4" s="7"/>
      <c r="I4" s="7"/>
      <c r="J4" s="7"/>
      <c r="K4" s="7"/>
    </row>
    <row r="5" spans="2:11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76" t="s">
        <v>54</v>
      </c>
    </row>
    <row r="6" spans="2:11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63" t="s">
        <v>11</v>
      </c>
    </row>
    <row r="7" spans="2:11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64"/>
    </row>
    <row r="8" spans="2:11" ht="15.75" x14ac:dyDescent="0.25">
      <c r="B8" s="20" t="s">
        <v>13</v>
      </c>
      <c r="C8" s="16">
        <f>D8+E8+F8+G8+H8+I8+J8+K8</f>
        <v>181725769</v>
      </c>
      <c r="D8" s="17">
        <v>1483172</v>
      </c>
      <c r="E8" s="17">
        <v>20688939</v>
      </c>
      <c r="F8" s="17">
        <v>61348</v>
      </c>
      <c r="G8" s="17">
        <v>77239745</v>
      </c>
      <c r="H8" s="17">
        <v>494085</v>
      </c>
      <c r="I8" s="17">
        <v>15653651</v>
      </c>
      <c r="J8" s="17">
        <v>51669720</v>
      </c>
      <c r="K8" s="64">
        <v>14435109</v>
      </c>
    </row>
    <row r="9" spans="2:11" ht="15.75" x14ac:dyDescent="0.25">
      <c r="B9" s="20"/>
      <c r="C9" s="16"/>
      <c r="D9" s="17"/>
      <c r="E9" s="17"/>
      <c r="F9" s="17"/>
      <c r="G9" s="17"/>
      <c r="H9" s="17"/>
      <c r="I9" s="17"/>
      <c r="J9" s="17"/>
      <c r="K9" s="64"/>
    </row>
    <row r="10" spans="2:11" ht="15.75" x14ac:dyDescent="0.25">
      <c r="B10" s="20" t="s">
        <v>14</v>
      </c>
      <c r="C10" s="16">
        <f>D10+E10+F10+G10+H10+I10+J10+K10</f>
        <v>9046554</v>
      </c>
      <c r="D10" s="17">
        <v>135954</v>
      </c>
      <c r="E10" s="17">
        <v>1071123</v>
      </c>
      <c r="F10" s="17">
        <v>11348</v>
      </c>
      <c r="G10" s="17">
        <v>2557651</v>
      </c>
      <c r="H10" s="17">
        <v>5270478</v>
      </c>
      <c r="I10" s="17">
        <v>0</v>
      </c>
      <c r="J10" s="17">
        <v>0</v>
      </c>
      <c r="K10" s="64">
        <v>0</v>
      </c>
    </row>
    <row r="11" spans="2:11" ht="15.75" x14ac:dyDescent="0.25">
      <c r="B11" s="20"/>
      <c r="C11" s="16"/>
      <c r="D11" s="17"/>
      <c r="E11" s="17"/>
      <c r="F11" s="17"/>
      <c r="G11" s="17"/>
      <c r="H11" s="17"/>
      <c r="I11" s="17"/>
      <c r="J11" s="17"/>
      <c r="K11" s="64"/>
    </row>
    <row r="12" spans="2:11" ht="15.75" x14ac:dyDescent="0.25">
      <c r="B12" s="20" t="s">
        <v>15</v>
      </c>
      <c r="C12" s="16">
        <f>D12+E12+F12+G12+H12+I12+J12+K12</f>
        <v>94614104</v>
      </c>
      <c r="D12" s="17">
        <v>791007</v>
      </c>
      <c r="E12" s="17">
        <v>9787280</v>
      </c>
      <c r="F12" s="17">
        <v>0</v>
      </c>
      <c r="G12" s="17">
        <v>29096427</v>
      </c>
      <c r="H12" s="17">
        <v>817714</v>
      </c>
      <c r="I12" s="17">
        <v>5407218</v>
      </c>
      <c r="J12" s="17">
        <v>42069139</v>
      </c>
      <c r="K12" s="64">
        <v>6645319</v>
      </c>
    </row>
    <row r="13" spans="2:11" ht="15.75" x14ac:dyDescent="0.25">
      <c r="B13" s="20" t="s">
        <v>16</v>
      </c>
      <c r="C13" s="16">
        <f>D13+E13+F13+G13+H13+I13+J13+K13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64">
        <v>0</v>
      </c>
    </row>
    <row r="14" spans="2:11" ht="15.75" x14ac:dyDescent="0.25">
      <c r="B14" s="20"/>
      <c r="C14" s="16"/>
      <c r="D14" s="17"/>
      <c r="E14" s="17"/>
      <c r="F14" s="17"/>
      <c r="G14" s="17"/>
      <c r="H14" s="17"/>
      <c r="I14" s="17"/>
      <c r="J14" s="17"/>
      <c r="K14" s="64"/>
    </row>
    <row r="15" spans="2:11" ht="15.75" x14ac:dyDescent="0.25">
      <c r="B15" s="20" t="s">
        <v>17</v>
      </c>
      <c r="C15" s="16">
        <f>D15+E15+F15+G15+H15+I15+J15+K15</f>
        <v>6513849</v>
      </c>
      <c r="D15" s="17">
        <v>0</v>
      </c>
      <c r="E15" s="17">
        <v>738300</v>
      </c>
      <c r="F15" s="17">
        <v>0</v>
      </c>
      <c r="G15" s="17">
        <v>2460309</v>
      </c>
      <c r="H15" s="17">
        <v>3315240</v>
      </c>
      <c r="I15" s="17">
        <v>0</v>
      </c>
      <c r="J15" s="17">
        <v>0</v>
      </c>
      <c r="K15" s="64">
        <v>0</v>
      </c>
    </row>
    <row r="16" spans="2:11" ht="15.75" x14ac:dyDescent="0.25">
      <c r="B16" s="20"/>
      <c r="C16" s="16"/>
      <c r="D16" s="17"/>
      <c r="E16" s="17"/>
      <c r="F16" s="17"/>
      <c r="G16" s="17"/>
      <c r="H16" s="17"/>
      <c r="I16" s="17"/>
      <c r="J16" s="17"/>
      <c r="K16" s="64"/>
    </row>
    <row r="17" spans="2:11" ht="15.75" x14ac:dyDescent="0.25">
      <c r="B17" s="20" t="s">
        <v>18</v>
      </c>
      <c r="C17" s="16">
        <f>D17+E17+F17+G17+H17+I17+J17+K17</f>
        <v>15655844</v>
      </c>
      <c r="D17" s="17">
        <v>63208</v>
      </c>
      <c r="E17" s="17">
        <v>1114058</v>
      </c>
      <c r="F17" s="17">
        <v>0</v>
      </c>
      <c r="G17" s="17">
        <v>6601491</v>
      </c>
      <c r="H17" s="17">
        <v>7261184</v>
      </c>
      <c r="I17" s="17">
        <v>615903</v>
      </c>
      <c r="J17" s="17">
        <v>0</v>
      </c>
      <c r="K17" s="64">
        <v>0</v>
      </c>
    </row>
    <row r="18" spans="2:11" ht="15.75" x14ac:dyDescent="0.25">
      <c r="B18" s="20"/>
      <c r="C18" s="16"/>
      <c r="D18" s="17"/>
      <c r="E18" s="17"/>
      <c r="F18" s="17"/>
      <c r="G18" s="17"/>
      <c r="H18" s="17"/>
      <c r="I18" s="17"/>
      <c r="J18" s="17"/>
      <c r="K18" s="64"/>
    </row>
    <row r="19" spans="2:11" ht="15.75" x14ac:dyDescent="0.25">
      <c r="B19" s="20" t="s">
        <v>19</v>
      </c>
      <c r="C19" s="16">
        <f>D19+E19+F19+G19+H19+I19+J19+K19</f>
        <v>27777191</v>
      </c>
      <c r="D19" s="17">
        <v>127930</v>
      </c>
      <c r="E19" s="17">
        <v>2648715</v>
      </c>
      <c r="F19" s="17">
        <v>0</v>
      </c>
      <c r="G19" s="17">
        <v>9549448</v>
      </c>
      <c r="H19" s="17">
        <v>388222</v>
      </c>
      <c r="I19" s="17">
        <v>624557</v>
      </c>
      <c r="J19" s="17">
        <v>10761234</v>
      </c>
      <c r="K19" s="64">
        <v>3677085</v>
      </c>
    </row>
    <row r="20" spans="2:11" ht="15.75" x14ac:dyDescent="0.25">
      <c r="B20" s="20"/>
      <c r="C20" s="16"/>
      <c r="D20" s="17"/>
      <c r="E20" s="17"/>
      <c r="F20" s="17"/>
      <c r="G20" s="17"/>
      <c r="H20" s="17"/>
      <c r="I20" s="17"/>
      <c r="J20" s="17"/>
      <c r="K20" s="64"/>
    </row>
    <row r="21" spans="2:11" ht="15.75" x14ac:dyDescent="0.25">
      <c r="B21" s="20" t="s">
        <v>20</v>
      </c>
      <c r="C21" s="16">
        <f>D21+E21+F21+G21+H21+I21+J21+K21</f>
        <v>20153891</v>
      </c>
      <c r="D21" s="17">
        <v>91602</v>
      </c>
      <c r="E21" s="17">
        <v>2392973</v>
      </c>
      <c r="F21" s="17">
        <v>0</v>
      </c>
      <c r="G21" s="17">
        <v>8216638</v>
      </c>
      <c r="H21" s="17">
        <v>343687</v>
      </c>
      <c r="I21" s="17">
        <v>660736</v>
      </c>
      <c r="J21" s="17">
        <v>8448255</v>
      </c>
      <c r="K21" s="64">
        <v>0</v>
      </c>
    </row>
    <row r="22" spans="2:11" ht="15.75" x14ac:dyDescent="0.25">
      <c r="B22" s="20"/>
      <c r="C22" s="16"/>
      <c r="D22" s="17"/>
      <c r="E22" s="17"/>
      <c r="F22" s="17"/>
      <c r="G22" s="17"/>
      <c r="H22" s="17"/>
      <c r="I22" s="17"/>
      <c r="J22" s="17"/>
      <c r="K22" s="64"/>
    </row>
    <row r="23" spans="2:11" ht="15.75" x14ac:dyDescent="0.25">
      <c r="B23" s="20" t="s">
        <v>21</v>
      </c>
      <c r="C23" s="16">
        <f>D23+E23+F23+G23+H23+I23+J23+K23</f>
        <v>4763450</v>
      </c>
      <c r="D23" s="17">
        <v>13619</v>
      </c>
      <c r="E23" s="17">
        <v>552822</v>
      </c>
      <c r="F23" s="17">
        <v>0</v>
      </c>
      <c r="G23" s="17">
        <v>2320421</v>
      </c>
      <c r="H23" s="17">
        <v>1876588</v>
      </c>
      <c r="I23" s="17">
        <v>0</v>
      </c>
      <c r="J23" s="17">
        <v>0</v>
      </c>
      <c r="K23" s="64">
        <v>0</v>
      </c>
    </row>
    <row r="24" spans="2:11" ht="15.75" x14ac:dyDescent="0.25">
      <c r="B24" s="20"/>
      <c r="C24" s="16"/>
      <c r="D24" s="17"/>
      <c r="E24" s="17"/>
      <c r="F24" s="17"/>
      <c r="G24" s="17"/>
      <c r="H24" s="17"/>
      <c r="I24" s="17"/>
      <c r="J24" s="17"/>
      <c r="K24" s="64"/>
    </row>
    <row r="25" spans="2:11" ht="15.75" x14ac:dyDescent="0.25">
      <c r="B25" s="20" t="s">
        <v>22</v>
      </c>
      <c r="C25" s="16">
        <f>D25+E25+F25+G25+H25+I25+J25+K25</f>
        <v>707819</v>
      </c>
      <c r="D25" s="17">
        <v>0</v>
      </c>
      <c r="E25" s="17">
        <v>31830</v>
      </c>
      <c r="F25" s="17">
        <v>0</v>
      </c>
      <c r="G25" s="17">
        <v>233837</v>
      </c>
      <c r="H25" s="17">
        <v>442152</v>
      </c>
      <c r="I25" s="17">
        <v>0</v>
      </c>
      <c r="J25" s="17">
        <v>0</v>
      </c>
      <c r="K25" s="64">
        <v>0</v>
      </c>
    </row>
    <row r="26" spans="2:11" ht="15.75" x14ac:dyDescent="0.25">
      <c r="B26" s="20"/>
      <c r="C26" s="16"/>
      <c r="D26" s="17"/>
      <c r="E26" s="17"/>
      <c r="F26" s="17"/>
      <c r="G26" s="17"/>
      <c r="H26" s="17"/>
      <c r="I26" s="17"/>
      <c r="J26" s="17"/>
      <c r="K26" s="64"/>
    </row>
    <row r="27" spans="2:11" ht="15.75" x14ac:dyDescent="0.25">
      <c r="B27" s="65" t="s">
        <v>3</v>
      </c>
      <c r="C27" s="16">
        <f>C8+C10+C12+C13+C15+C17+C19+C21+C23+C25</f>
        <v>360958471</v>
      </c>
      <c r="D27" s="16">
        <f t="shared" ref="D27:K27" si="0">D8+D10+D12+D13+D15+D17+D19+D21+D23+D25</f>
        <v>2706492</v>
      </c>
      <c r="E27" s="16">
        <f t="shared" si="0"/>
        <v>39026040</v>
      </c>
      <c r="F27" s="16">
        <f t="shared" si="0"/>
        <v>72696</v>
      </c>
      <c r="G27" s="16">
        <f t="shared" si="0"/>
        <v>138275967</v>
      </c>
      <c r="H27" s="16">
        <f t="shared" si="0"/>
        <v>20209350</v>
      </c>
      <c r="I27" s="16">
        <f t="shared" si="0"/>
        <v>22962065</v>
      </c>
      <c r="J27" s="16">
        <f t="shared" si="0"/>
        <v>112948348</v>
      </c>
      <c r="K27" s="66">
        <f t="shared" si="0"/>
        <v>24757513</v>
      </c>
    </row>
    <row r="28" spans="2:11" ht="16.5" thickBot="1" x14ac:dyDescent="0.3">
      <c r="B28" s="25"/>
      <c r="C28" s="26"/>
      <c r="D28" s="27"/>
      <c r="E28" s="27"/>
      <c r="F28" s="27"/>
      <c r="G28" s="27"/>
      <c r="H28" s="27"/>
      <c r="I28" s="27"/>
      <c r="J28" s="27"/>
      <c r="K28" s="67"/>
    </row>
    <row r="29" spans="2:11" ht="16.5" thickTop="1" x14ac:dyDescent="0.25">
      <c r="B29" s="1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5.75" x14ac:dyDescent="0.25">
      <c r="B30" s="33" t="s">
        <v>23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2:11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2" t="s">
        <v>0</v>
      </c>
      <c r="C33" s="3"/>
      <c r="D33" s="3"/>
      <c r="E33" s="7"/>
      <c r="F33" s="3"/>
      <c r="G33" s="7"/>
      <c r="H33" s="7"/>
      <c r="I33" s="7"/>
      <c r="J33" s="7"/>
      <c r="K33" s="7"/>
    </row>
    <row r="34" spans="2:11" ht="15.75" x14ac:dyDescent="0.25">
      <c r="B34" s="1"/>
      <c r="C34" s="36"/>
      <c r="E34" s="38"/>
      <c r="F34" s="38"/>
      <c r="G34" s="39" t="s">
        <v>1</v>
      </c>
      <c r="H34" s="38"/>
      <c r="I34" s="38"/>
      <c r="J34" s="38"/>
      <c r="K34" s="38"/>
    </row>
    <row r="35" spans="2:11" ht="15.75" x14ac:dyDescent="0.25">
      <c r="B35" s="6" t="s">
        <v>53</v>
      </c>
      <c r="C35" s="3"/>
      <c r="D35" s="3"/>
      <c r="E35" s="7"/>
      <c r="F35" s="3"/>
      <c r="G35" s="7"/>
      <c r="H35" s="7"/>
      <c r="I35" s="7"/>
      <c r="J35" s="7"/>
      <c r="K35" s="7"/>
    </row>
    <row r="36" spans="2:11" ht="16.5" thickBot="1" x14ac:dyDescent="0.3">
      <c r="B36" s="1"/>
      <c r="C36" s="36"/>
      <c r="D36" s="38"/>
      <c r="E36" s="38"/>
      <c r="F36" s="38"/>
      <c r="G36" s="38"/>
      <c r="H36" s="38"/>
      <c r="I36" s="38"/>
      <c r="J36" s="38"/>
      <c r="K36" s="76" t="s">
        <v>54</v>
      </c>
    </row>
    <row r="37" spans="2:11" ht="16.5" thickTop="1" x14ac:dyDescent="0.25">
      <c r="B37" s="41" t="s">
        <v>24</v>
      </c>
      <c r="C37" s="42" t="s">
        <v>3</v>
      </c>
      <c r="D37" s="62" t="s">
        <v>43</v>
      </c>
      <c r="E37" s="62" t="s">
        <v>40</v>
      </c>
      <c r="F37" s="43" t="s">
        <v>6</v>
      </c>
      <c r="G37" s="43" t="s">
        <v>7</v>
      </c>
      <c r="H37" s="43" t="s">
        <v>8</v>
      </c>
      <c r="I37" s="43" t="s">
        <v>25</v>
      </c>
      <c r="J37" s="44" t="s">
        <v>10</v>
      </c>
      <c r="K37" s="63" t="s">
        <v>11</v>
      </c>
    </row>
    <row r="38" spans="2:11" ht="15.75" x14ac:dyDescent="0.25">
      <c r="B38" s="45"/>
      <c r="C38" s="46"/>
      <c r="D38" s="47"/>
      <c r="E38" s="47"/>
      <c r="F38" s="47"/>
      <c r="G38" s="47"/>
      <c r="H38" s="47"/>
      <c r="I38" s="47"/>
      <c r="J38" s="48"/>
      <c r="K38" s="68"/>
    </row>
    <row r="39" spans="2:11" ht="15.75" x14ac:dyDescent="0.25">
      <c r="B39" s="45" t="s">
        <v>26</v>
      </c>
      <c r="C39" s="49">
        <f>SUM(D39:K39)</f>
        <v>27572973</v>
      </c>
      <c r="D39" s="50">
        <v>169742</v>
      </c>
      <c r="E39" s="50">
        <v>2900011</v>
      </c>
      <c r="F39" s="50">
        <v>6383</v>
      </c>
      <c r="G39" s="50">
        <v>9982542</v>
      </c>
      <c r="H39" s="50">
        <v>1503653</v>
      </c>
      <c r="I39" s="73">
        <v>1794218</v>
      </c>
      <c r="J39" s="73">
        <v>9323271</v>
      </c>
      <c r="K39" s="74">
        <v>1893153</v>
      </c>
    </row>
    <row r="40" spans="2:11" ht="15.75" x14ac:dyDescent="0.25">
      <c r="B40" s="45" t="s">
        <v>27</v>
      </c>
      <c r="C40" s="49">
        <f>SUM(D40:K40)</f>
        <v>25437836</v>
      </c>
      <c r="D40" s="50">
        <v>265456</v>
      </c>
      <c r="E40" s="50">
        <v>2683459</v>
      </c>
      <c r="F40" s="50">
        <v>801</v>
      </c>
      <c r="G40" s="50">
        <v>9420278</v>
      </c>
      <c r="H40" s="50">
        <v>1434580</v>
      </c>
      <c r="I40" s="73">
        <v>1746863</v>
      </c>
      <c r="J40" s="73">
        <v>8072634</v>
      </c>
      <c r="K40" s="74">
        <v>1813765</v>
      </c>
    </row>
    <row r="41" spans="2:11" ht="15.75" x14ac:dyDescent="0.25">
      <c r="B41" s="45" t="s">
        <v>28</v>
      </c>
      <c r="C41" s="49">
        <f>SUM(D41:K41)</f>
        <v>33069787</v>
      </c>
      <c r="D41" s="50">
        <v>167476</v>
      </c>
      <c r="E41" s="50">
        <v>3348491</v>
      </c>
      <c r="F41" s="50">
        <v>0</v>
      </c>
      <c r="G41" s="50">
        <v>11726462</v>
      </c>
      <c r="H41" s="50">
        <v>1820748</v>
      </c>
      <c r="I41" s="73">
        <v>2187084</v>
      </c>
      <c r="J41" s="73">
        <v>10745924</v>
      </c>
      <c r="K41" s="74">
        <v>3073602</v>
      </c>
    </row>
    <row r="42" spans="2:11" ht="15.75" x14ac:dyDescent="0.25">
      <c r="B42" s="45"/>
      <c r="C42" s="49">
        <f t="shared" ref="C42:H42" si="1">C39+C40+C41</f>
        <v>86080596</v>
      </c>
      <c r="D42" s="50">
        <f t="shared" si="1"/>
        <v>602674</v>
      </c>
      <c r="E42" s="50">
        <f t="shared" si="1"/>
        <v>8931961</v>
      </c>
      <c r="F42" s="50">
        <f t="shared" si="1"/>
        <v>7184</v>
      </c>
      <c r="G42" s="50">
        <f t="shared" si="1"/>
        <v>31129282</v>
      </c>
      <c r="H42" s="50">
        <f t="shared" si="1"/>
        <v>4758981</v>
      </c>
      <c r="I42" s="73">
        <f>SUM(I39:I41)</f>
        <v>5728165</v>
      </c>
      <c r="J42" s="73">
        <f>SUM(J39:J41)</f>
        <v>28141829</v>
      </c>
      <c r="K42" s="74">
        <f>K39+K40+K41</f>
        <v>6780520</v>
      </c>
    </row>
    <row r="43" spans="2:11" ht="15.75" x14ac:dyDescent="0.25">
      <c r="B43" s="45" t="s">
        <v>29</v>
      </c>
      <c r="C43" s="49">
        <f>SUM(D43:K43)</f>
        <v>28720394</v>
      </c>
      <c r="D43" s="50">
        <v>266162</v>
      </c>
      <c r="E43" s="50">
        <v>3015065</v>
      </c>
      <c r="F43" s="50">
        <v>996</v>
      </c>
      <c r="G43" s="50">
        <v>11186684</v>
      </c>
      <c r="H43" s="50">
        <v>1344521</v>
      </c>
      <c r="I43" s="73">
        <v>2209056</v>
      </c>
      <c r="J43" s="73">
        <v>8896520</v>
      </c>
      <c r="K43" s="74">
        <v>1801390</v>
      </c>
    </row>
    <row r="44" spans="2:11" ht="15.75" x14ac:dyDescent="0.25">
      <c r="B44" s="45" t="s">
        <v>30</v>
      </c>
      <c r="C44" s="49">
        <f>SUM(D44:K44)</f>
        <v>30293004</v>
      </c>
      <c r="D44" s="50">
        <v>172078</v>
      </c>
      <c r="E44" s="50">
        <v>3320062</v>
      </c>
      <c r="F44" s="50">
        <v>6386</v>
      </c>
      <c r="G44" s="50">
        <v>12673131</v>
      </c>
      <c r="H44" s="50">
        <v>1556832</v>
      </c>
      <c r="I44" s="73">
        <v>1886296</v>
      </c>
      <c r="J44" s="73">
        <v>8796958</v>
      </c>
      <c r="K44" s="74">
        <v>1881261</v>
      </c>
    </row>
    <row r="45" spans="2:11" ht="15.75" x14ac:dyDescent="0.25">
      <c r="B45" s="45" t="s">
        <v>31</v>
      </c>
      <c r="C45" s="49">
        <f>SUM(D45:K45)</f>
        <v>30757370</v>
      </c>
      <c r="D45" s="50">
        <v>288982</v>
      </c>
      <c r="E45" s="50">
        <v>3366014</v>
      </c>
      <c r="F45" s="50">
        <v>0</v>
      </c>
      <c r="G45" s="50">
        <v>12462849</v>
      </c>
      <c r="H45" s="50">
        <v>1517176</v>
      </c>
      <c r="I45" s="73">
        <v>1992304</v>
      </c>
      <c r="J45" s="73">
        <v>9401289</v>
      </c>
      <c r="K45" s="74">
        <v>1728756</v>
      </c>
    </row>
    <row r="46" spans="2:11" ht="15.75" x14ac:dyDescent="0.25">
      <c r="B46" s="45"/>
      <c r="C46" s="49">
        <f t="shared" ref="C46:H46" si="2">C43+C44+C45</f>
        <v>89770768</v>
      </c>
      <c r="D46" s="50">
        <f t="shared" si="2"/>
        <v>727222</v>
      </c>
      <c r="E46" s="50">
        <f t="shared" si="2"/>
        <v>9701141</v>
      </c>
      <c r="F46" s="50">
        <f t="shared" si="2"/>
        <v>7382</v>
      </c>
      <c r="G46" s="50">
        <f t="shared" si="2"/>
        <v>36322664</v>
      </c>
      <c r="H46" s="50">
        <f t="shared" si="2"/>
        <v>4418529</v>
      </c>
      <c r="I46" s="73">
        <f>SUM(I43:I45)</f>
        <v>6087656</v>
      </c>
      <c r="J46" s="73">
        <f>SUM(J43:J45)</f>
        <v>27094767</v>
      </c>
      <c r="K46" s="74">
        <f>K43+K44+K45</f>
        <v>5411407</v>
      </c>
    </row>
    <row r="47" spans="2:11" ht="15.75" x14ac:dyDescent="0.25">
      <c r="B47" s="45" t="s">
        <v>32</v>
      </c>
      <c r="C47" s="49">
        <f>SUM(D47:K47)</f>
        <v>31876335</v>
      </c>
      <c r="D47" s="50">
        <v>221513</v>
      </c>
      <c r="E47" s="50">
        <v>3640666</v>
      </c>
      <c r="F47" s="50">
        <v>2603</v>
      </c>
      <c r="G47" s="50">
        <v>12577907</v>
      </c>
      <c r="H47" s="50">
        <v>1702491</v>
      </c>
      <c r="I47" s="73">
        <v>1887030</v>
      </c>
      <c r="J47" s="73">
        <v>9437862</v>
      </c>
      <c r="K47" s="74">
        <v>2406263</v>
      </c>
    </row>
    <row r="48" spans="2:11" ht="15.75" x14ac:dyDescent="0.25">
      <c r="B48" s="45" t="s">
        <v>41</v>
      </c>
      <c r="C48" s="49">
        <f>SUM(D48:K48)</f>
        <v>33325791</v>
      </c>
      <c r="D48" s="50">
        <v>375326</v>
      </c>
      <c r="E48" s="50">
        <v>4009407</v>
      </c>
      <c r="F48" s="50">
        <v>9051</v>
      </c>
      <c r="G48" s="50">
        <v>13101752</v>
      </c>
      <c r="H48" s="50">
        <v>925680</v>
      </c>
      <c r="I48" s="73">
        <v>1970625</v>
      </c>
      <c r="J48" s="73">
        <v>9908215</v>
      </c>
      <c r="K48" s="74">
        <v>3025735</v>
      </c>
    </row>
    <row r="49" spans="2:11" ht="15.75" x14ac:dyDescent="0.25">
      <c r="B49" s="45" t="s">
        <v>34</v>
      </c>
      <c r="C49" s="49">
        <f>SUM(D49:K49)</f>
        <v>33827539</v>
      </c>
      <c r="D49" s="50">
        <v>223959</v>
      </c>
      <c r="E49" s="50">
        <v>3461844</v>
      </c>
      <c r="F49" s="50">
        <v>5349</v>
      </c>
      <c r="G49" s="50">
        <v>14177364</v>
      </c>
      <c r="H49" s="50">
        <v>1135781</v>
      </c>
      <c r="I49" s="73">
        <v>2193950</v>
      </c>
      <c r="J49" s="73">
        <v>10809493</v>
      </c>
      <c r="K49" s="74">
        <v>1819799</v>
      </c>
    </row>
    <row r="50" spans="2:11" ht="15.75" x14ac:dyDescent="0.25">
      <c r="B50" s="45"/>
      <c r="C50" s="49">
        <f t="shared" ref="C50:K50" si="3">C47+C48+C49</f>
        <v>99029665</v>
      </c>
      <c r="D50" s="50">
        <f t="shared" si="3"/>
        <v>820798</v>
      </c>
      <c r="E50" s="50">
        <f t="shared" si="3"/>
        <v>11111917</v>
      </c>
      <c r="F50" s="50">
        <f t="shared" si="3"/>
        <v>17003</v>
      </c>
      <c r="G50" s="50">
        <f t="shared" si="3"/>
        <v>39857023</v>
      </c>
      <c r="H50" s="50">
        <f t="shared" si="3"/>
        <v>3763952</v>
      </c>
      <c r="I50" s="73">
        <f>SUM(I47:I49)</f>
        <v>6051605</v>
      </c>
      <c r="J50" s="73">
        <f>SUM(J47:J49)</f>
        <v>30155570</v>
      </c>
      <c r="K50" s="74">
        <f t="shared" si="3"/>
        <v>7251797</v>
      </c>
    </row>
    <row r="51" spans="2:11" ht="15.75" x14ac:dyDescent="0.25">
      <c r="B51" s="45" t="s">
        <v>35</v>
      </c>
      <c r="C51" s="49">
        <f>SUM(D51:K51)</f>
        <v>29073659</v>
      </c>
      <c r="D51" s="50">
        <v>183515</v>
      </c>
      <c r="E51" s="50">
        <v>3087609</v>
      </c>
      <c r="F51" s="50">
        <v>20850</v>
      </c>
      <c r="G51" s="50">
        <v>11588749</v>
      </c>
      <c r="H51" s="50">
        <v>1848654</v>
      </c>
      <c r="I51" s="73">
        <v>1840858</v>
      </c>
      <c r="J51" s="73">
        <v>8811416</v>
      </c>
      <c r="K51" s="74">
        <v>1692008</v>
      </c>
    </row>
    <row r="52" spans="2:11" ht="15.75" x14ac:dyDescent="0.25">
      <c r="B52" s="45" t="s">
        <v>36</v>
      </c>
      <c r="C52" s="49">
        <f>SUM(D52:K52)</f>
        <v>28298880</v>
      </c>
      <c r="D52" s="50">
        <v>181929</v>
      </c>
      <c r="E52" s="50">
        <v>3046599</v>
      </c>
      <c r="F52" s="50">
        <v>17832</v>
      </c>
      <c r="G52" s="50">
        <v>11140370</v>
      </c>
      <c r="H52" s="50">
        <v>1628718</v>
      </c>
      <c r="I52" s="73">
        <v>1599336</v>
      </c>
      <c r="J52" s="73">
        <v>8872974</v>
      </c>
      <c r="K52" s="74">
        <v>1811122</v>
      </c>
    </row>
    <row r="53" spans="2:11" ht="15.75" x14ac:dyDescent="0.25">
      <c r="B53" s="45" t="s">
        <v>37</v>
      </c>
      <c r="C53" s="49">
        <f>SUM(D53:K53)</f>
        <v>28704903</v>
      </c>
      <c r="D53" s="50">
        <v>190354</v>
      </c>
      <c r="E53" s="50">
        <v>3146813</v>
      </c>
      <c r="F53" s="50">
        <v>2445</v>
      </c>
      <c r="G53" s="50">
        <v>10276324</v>
      </c>
      <c r="H53" s="50">
        <v>1752071</v>
      </c>
      <c r="I53" s="73">
        <v>1654445</v>
      </c>
      <c r="J53" s="73">
        <v>9871792</v>
      </c>
      <c r="K53" s="74">
        <v>1810659</v>
      </c>
    </row>
    <row r="54" spans="2:11" ht="15.75" x14ac:dyDescent="0.25">
      <c r="B54" s="45"/>
      <c r="C54" s="49">
        <f t="shared" ref="C54:K54" si="4">C51+C52+C53</f>
        <v>86077442</v>
      </c>
      <c r="D54" s="50">
        <f t="shared" si="4"/>
        <v>555798</v>
      </c>
      <c r="E54" s="50">
        <f t="shared" si="4"/>
        <v>9281021</v>
      </c>
      <c r="F54" s="50">
        <f t="shared" si="4"/>
        <v>41127</v>
      </c>
      <c r="G54" s="50">
        <f t="shared" si="4"/>
        <v>33005443</v>
      </c>
      <c r="H54" s="50">
        <f t="shared" si="4"/>
        <v>5229443</v>
      </c>
      <c r="I54" s="73">
        <f>SUM(I51:I53)</f>
        <v>5094639</v>
      </c>
      <c r="J54" s="75">
        <f>SUM(J51:J53)</f>
        <v>27556182</v>
      </c>
      <c r="K54" s="74">
        <f t="shared" si="4"/>
        <v>5313789</v>
      </c>
    </row>
    <row r="55" spans="2:11" ht="15" x14ac:dyDescent="0.25">
      <c r="B55" s="70" t="s">
        <v>38</v>
      </c>
      <c r="C55" s="49">
        <f t="shared" ref="C55:K55" si="5">C39+C40+C41+C43+C44+C45+C47+C48+C49+C51+C52+C53</f>
        <v>360958471</v>
      </c>
      <c r="D55" s="50">
        <f t="shared" si="5"/>
        <v>2706492</v>
      </c>
      <c r="E55" s="50">
        <f t="shared" si="5"/>
        <v>39026040</v>
      </c>
      <c r="F55" s="50">
        <f t="shared" si="5"/>
        <v>72696</v>
      </c>
      <c r="G55" s="50">
        <f t="shared" si="5"/>
        <v>140314412</v>
      </c>
      <c r="H55" s="50">
        <f t="shared" si="5"/>
        <v>18170905</v>
      </c>
      <c r="I55" s="50">
        <f t="shared" si="5"/>
        <v>22962065</v>
      </c>
      <c r="J55" s="51">
        <f t="shared" si="5"/>
        <v>112948348</v>
      </c>
      <c r="K55" s="69">
        <f t="shared" si="5"/>
        <v>24757513</v>
      </c>
    </row>
    <row r="56" spans="2:11" ht="16.5" thickBot="1" x14ac:dyDescent="0.3">
      <c r="B56" s="58"/>
      <c r="C56" s="26"/>
      <c r="D56" s="27"/>
      <c r="E56" s="27"/>
      <c r="F56" s="27"/>
      <c r="G56" s="27"/>
      <c r="H56" s="27"/>
      <c r="I56" s="27"/>
      <c r="J56" s="28"/>
      <c r="K56" s="67"/>
    </row>
    <row r="57" spans="2:11" ht="16.5" thickTop="1" x14ac:dyDescent="0.25">
      <c r="B57" s="1"/>
      <c r="C57" s="59"/>
      <c r="D57" s="60"/>
      <c r="E57" s="60"/>
      <c r="F57" s="60"/>
      <c r="G57" s="60"/>
      <c r="H57" s="60"/>
      <c r="I57" s="60"/>
      <c r="J57" s="60"/>
      <c r="K57" s="60"/>
    </row>
    <row r="58" spans="2:11" ht="15.75" x14ac:dyDescent="0.25">
      <c r="B58" s="33" t="s">
        <v>23</v>
      </c>
      <c r="C58" s="59"/>
      <c r="D58" s="60"/>
      <c r="E58" s="60"/>
      <c r="F58" s="60"/>
      <c r="G58" s="60"/>
      <c r="H58" s="60"/>
      <c r="I58" s="60"/>
      <c r="J58" s="60"/>
      <c r="K58" s="60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K58"/>
  <sheetViews>
    <sheetView topLeftCell="A4" workbookViewId="0">
      <selection activeCell="D27" sqref="D27:K27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2" spans="2:11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</row>
    <row r="3" spans="2:11" ht="15.75" x14ac:dyDescent="0.25">
      <c r="B3" s="1"/>
      <c r="C3" s="5"/>
      <c r="D3" s="2"/>
      <c r="E3" s="2"/>
      <c r="F3" s="2"/>
      <c r="G3" s="2" t="s">
        <v>1</v>
      </c>
      <c r="H3" s="9"/>
      <c r="I3" s="2"/>
      <c r="J3" s="2"/>
      <c r="K3" s="2"/>
    </row>
    <row r="4" spans="2:11" ht="15.75" x14ac:dyDescent="0.25">
      <c r="B4" s="6" t="s">
        <v>55</v>
      </c>
      <c r="C4" s="3"/>
      <c r="D4" s="3"/>
      <c r="E4" s="7"/>
      <c r="F4" s="3"/>
      <c r="G4" s="7"/>
      <c r="H4" s="7"/>
      <c r="I4" s="7"/>
      <c r="J4" s="7"/>
      <c r="K4" s="7"/>
    </row>
    <row r="5" spans="2:11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76" t="s">
        <v>54</v>
      </c>
    </row>
    <row r="6" spans="2:11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63" t="s">
        <v>11</v>
      </c>
    </row>
    <row r="7" spans="2:11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64"/>
    </row>
    <row r="8" spans="2:11" ht="15.75" x14ac:dyDescent="0.25">
      <c r="B8" s="20" t="s">
        <v>13</v>
      </c>
      <c r="C8" s="16">
        <f>D8+E8+F8+G8+H8+I8+J8+K8</f>
        <v>170133813</v>
      </c>
      <c r="D8" s="17">
        <v>1184883</v>
      </c>
      <c r="E8" s="17">
        <v>19925374</v>
      </c>
      <c r="F8" s="17">
        <v>44087</v>
      </c>
      <c r="G8" s="17">
        <v>72126482</v>
      </c>
      <c r="H8" s="17">
        <v>388114</v>
      </c>
      <c r="I8" s="17">
        <v>13948232</v>
      </c>
      <c r="J8" s="17">
        <v>47866087</v>
      </c>
      <c r="K8" s="64">
        <v>14650554</v>
      </c>
    </row>
    <row r="9" spans="2:11" ht="15.75" x14ac:dyDescent="0.25">
      <c r="B9" s="20"/>
      <c r="C9" s="16"/>
      <c r="D9" s="17"/>
      <c r="E9" s="17"/>
      <c r="F9" s="17"/>
      <c r="G9" s="17"/>
      <c r="H9" s="17"/>
      <c r="I9" s="17"/>
      <c r="J9" s="17"/>
      <c r="K9" s="64"/>
    </row>
    <row r="10" spans="2:11" ht="15.75" x14ac:dyDescent="0.25">
      <c r="B10" s="20" t="s">
        <v>14</v>
      </c>
      <c r="C10" s="16">
        <f>D10+E10+F10+G10+H10+I10+J10+K10</f>
        <v>8897174</v>
      </c>
      <c r="D10" s="17">
        <v>50027</v>
      </c>
      <c r="E10" s="17">
        <v>1069780</v>
      </c>
      <c r="F10" s="17">
        <v>7582</v>
      </c>
      <c r="G10" s="17">
        <v>2430064</v>
      </c>
      <c r="H10" s="17">
        <v>5339721</v>
      </c>
      <c r="I10" s="17">
        <v>0</v>
      </c>
      <c r="J10" s="17">
        <v>0</v>
      </c>
      <c r="K10" s="64">
        <v>0</v>
      </c>
    </row>
    <row r="11" spans="2:11" ht="15.75" x14ac:dyDescent="0.25">
      <c r="B11" s="20"/>
      <c r="C11" s="16"/>
      <c r="D11" s="17"/>
      <c r="E11" s="17"/>
      <c r="F11" s="17"/>
      <c r="G11" s="17"/>
      <c r="H11" s="17"/>
      <c r="I11" s="17"/>
      <c r="J11" s="17"/>
      <c r="K11" s="64"/>
    </row>
    <row r="12" spans="2:11" ht="15.75" x14ac:dyDescent="0.25">
      <c r="B12" s="20" t="s">
        <v>15</v>
      </c>
      <c r="C12" s="16">
        <f>D12+E12+F12+G12+H12+I12+J12+K12</f>
        <v>91432115</v>
      </c>
      <c r="D12" s="17">
        <v>620810</v>
      </c>
      <c r="E12" s="17">
        <v>9350034</v>
      </c>
      <c r="F12" s="17">
        <v>0</v>
      </c>
      <c r="G12" s="17">
        <v>27770954</v>
      </c>
      <c r="H12" s="17">
        <v>822833</v>
      </c>
      <c r="I12" s="17">
        <v>5446304</v>
      </c>
      <c r="J12" s="17">
        <v>40744856</v>
      </c>
      <c r="K12" s="64">
        <v>6676324</v>
      </c>
    </row>
    <row r="13" spans="2:11" ht="15.75" x14ac:dyDescent="0.25">
      <c r="B13" s="20" t="s">
        <v>16</v>
      </c>
      <c r="C13" s="16">
        <f>D13+E13+F13+G13+H13+I13+J13+K13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64">
        <v>0</v>
      </c>
    </row>
    <row r="14" spans="2:11" ht="15.75" x14ac:dyDescent="0.25">
      <c r="B14" s="20"/>
      <c r="C14" s="16"/>
      <c r="D14" s="17"/>
      <c r="E14" s="17"/>
      <c r="F14" s="17"/>
      <c r="G14" s="17"/>
      <c r="H14" s="17"/>
      <c r="I14" s="17"/>
      <c r="J14" s="17"/>
      <c r="K14" s="64"/>
    </row>
    <row r="15" spans="2:11" ht="15.75" x14ac:dyDescent="0.25">
      <c r="B15" s="20" t="s">
        <v>17</v>
      </c>
      <c r="C15" s="16">
        <f>D15+E15+F15+G15+H15+I15+J15+K15</f>
        <v>6026596</v>
      </c>
      <c r="D15" s="17">
        <v>0</v>
      </c>
      <c r="E15" s="17">
        <v>639762</v>
      </c>
      <c r="F15" s="17">
        <v>0</v>
      </c>
      <c r="G15" s="17">
        <v>2196908</v>
      </c>
      <c r="H15" s="17">
        <v>3189926</v>
      </c>
      <c r="I15" s="17">
        <v>0</v>
      </c>
      <c r="J15" s="17">
        <v>0</v>
      </c>
      <c r="K15" s="64">
        <v>0</v>
      </c>
    </row>
    <row r="16" spans="2:11" ht="15.75" x14ac:dyDescent="0.25">
      <c r="B16" s="20"/>
      <c r="C16" s="16"/>
      <c r="D16" s="17"/>
      <c r="E16" s="17"/>
      <c r="F16" s="17"/>
      <c r="G16" s="17"/>
      <c r="H16" s="17"/>
      <c r="I16" s="17"/>
      <c r="J16" s="17"/>
      <c r="K16" s="64"/>
    </row>
    <row r="17" spans="2:11" ht="15.75" x14ac:dyDescent="0.25">
      <c r="B17" s="20" t="s">
        <v>18</v>
      </c>
      <c r="C17" s="16">
        <f>D17+E17+F17+G17+H17+I17+J17+K17</f>
        <v>14597161</v>
      </c>
      <c r="D17" s="17">
        <v>46845</v>
      </c>
      <c r="E17" s="17">
        <v>1040374</v>
      </c>
      <c r="F17" s="17">
        <v>0</v>
      </c>
      <c r="G17" s="17">
        <v>5597359</v>
      </c>
      <c r="H17" s="17">
        <v>7513718</v>
      </c>
      <c r="I17" s="17">
        <v>398865</v>
      </c>
      <c r="J17" s="17">
        <v>0</v>
      </c>
      <c r="K17" s="64">
        <v>0</v>
      </c>
    </row>
    <row r="18" spans="2:11" ht="15.75" x14ac:dyDescent="0.25">
      <c r="B18" s="20"/>
      <c r="C18" s="16"/>
      <c r="D18" s="17"/>
      <c r="E18" s="17"/>
      <c r="F18" s="17"/>
      <c r="G18" s="17"/>
      <c r="H18" s="17"/>
      <c r="I18" s="17"/>
      <c r="J18" s="17"/>
      <c r="K18" s="64"/>
    </row>
    <row r="19" spans="2:11" ht="15.75" x14ac:dyDescent="0.25">
      <c r="B19" s="20" t="s">
        <v>19</v>
      </c>
      <c r="C19" s="16">
        <f>D19+E19+F19+G19+H19+I19+J19+K19</f>
        <v>26518354</v>
      </c>
      <c r="D19" s="17">
        <v>103200</v>
      </c>
      <c r="E19" s="17">
        <v>2546030</v>
      </c>
      <c r="F19" s="17">
        <v>0</v>
      </c>
      <c r="G19" s="17">
        <v>9211112</v>
      </c>
      <c r="H19" s="17">
        <v>239300</v>
      </c>
      <c r="I19" s="17">
        <v>604125</v>
      </c>
      <c r="J19" s="17">
        <v>10302555</v>
      </c>
      <c r="K19" s="64">
        <v>3512032</v>
      </c>
    </row>
    <row r="20" spans="2:11" ht="15.75" x14ac:dyDescent="0.25">
      <c r="B20" s="20"/>
      <c r="C20" s="16"/>
      <c r="D20" s="17"/>
      <c r="E20" s="17"/>
      <c r="F20" s="17"/>
      <c r="G20" s="17"/>
      <c r="H20" s="17"/>
      <c r="I20" s="17"/>
      <c r="J20" s="17"/>
      <c r="K20" s="64"/>
    </row>
    <row r="21" spans="2:11" ht="15.75" x14ac:dyDescent="0.25">
      <c r="B21" s="20" t="s">
        <v>20</v>
      </c>
      <c r="C21" s="16">
        <f>D21+E21+F21+G21+H21+I21+J21+K21</f>
        <v>20596019</v>
      </c>
      <c r="D21" s="17">
        <v>86450</v>
      </c>
      <c r="E21" s="17">
        <v>2156612</v>
      </c>
      <c r="F21" s="17">
        <v>0</v>
      </c>
      <c r="G21" s="17">
        <v>8571410</v>
      </c>
      <c r="H21" s="17">
        <v>266644</v>
      </c>
      <c r="I21" s="17">
        <v>557133</v>
      </c>
      <c r="J21" s="17">
        <v>8957770</v>
      </c>
      <c r="K21" s="64">
        <v>0</v>
      </c>
    </row>
    <row r="22" spans="2:11" ht="15.75" x14ac:dyDescent="0.25">
      <c r="B22" s="20"/>
      <c r="C22" s="16"/>
      <c r="D22" s="17"/>
      <c r="E22" s="17"/>
      <c r="F22" s="17"/>
      <c r="G22" s="17"/>
      <c r="H22" s="17"/>
      <c r="I22" s="17"/>
      <c r="J22" s="17"/>
      <c r="K22" s="64"/>
    </row>
    <row r="23" spans="2:11" ht="15.75" x14ac:dyDescent="0.25">
      <c r="B23" s="20" t="s">
        <v>21</v>
      </c>
      <c r="C23" s="16">
        <f>D23+E23+F23+G23+H23+I23+J23+K23</f>
        <v>4652301</v>
      </c>
      <c r="D23" s="17">
        <v>500</v>
      </c>
      <c r="E23" s="17">
        <v>542508</v>
      </c>
      <c r="F23" s="17">
        <v>0</v>
      </c>
      <c r="G23" s="17">
        <v>2282054</v>
      </c>
      <c r="H23" s="17">
        <v>1827239</v>
      </c>
      <c r="I23" s="17">
        <v>0</v>
      </c>
      <c r="J23" s="17">
        <v>0</v>
      </c>
      <c r="K23" s="64">
        <v>0</v>
      </c>
    </row>
    <row r="24" spans="2:11" ht="15.75" x14ac:dyDescent="0.25">
      <c r="B24" s="20"/>
      <c r="C24" s="16"/>
      <c r="D24" s="17"/>
      <c r="E24" s="17"/>
      <c r="F24" s="17"/>
      <c r="G24" s="17"/>
      <c r="H24" s="17"/>
      <c r="I24" s="17"/>
      <c r="J24" s="17"/>
      <c r="K24" s="64"/>
    </row>
    <row r="25" spans="2:11" ht="15.75" x14ac:dyDescent="0.25">
      <c r="B25" s="20" t="s">
        <v>22</v>
      </c>
      <c r="C25" s="16">
        <f>D25+E25+F25+G25+H25+I25+J25+K25</f>
        <v>675629</v>
      </c>
      <c r="D25" s="17">
        <v>0</v>
      </c>
      <c r="E25" s="17">
        <v>29870</v>
      </c>
      <c r="F25" s="17">
        <v>0</v>
      </c>
      <c r="G25" s="17">
        <v>209115</v>
      </c>
      <c r="H25" s="17">
        <v>436644</v>
      </c>
      <c r="I25" s="17">
        <v>0</v>
      </c>
      <c r="J25" s="17">
        <v>0</v>
      </c>
      <c r="K25" s="64">
        <v>0</v>
      </c>
    </row>
    <row r="26" spans="2:11" ht="15.75" x14ac:dyDescent="0.25">
      <c r="B26" s="20"/>
      <c r="C26" s="16"/>
      <c r="D26" s="17"/>
      <c r="E26" s="17"/>
      <c r="F26" s="17"/>
      <c r="G26" s="17"/>
      <c r="H26" s="17"/>
      <c r="I26" s="17"/>
      <c r="J26" s="17"/>
      <c r="K26" s="64"/>
    </row>
    <row r="27" spans="2:11" ht="15.75" x14ac:dyDescent="0.25">
      <c r="B27" s="65" t="s">
        <v>3</v>
      </c>
      <c r="C27" s="16">
        <f>C8+C10+C12+C13+C15+C17+C19+C21+C23+C25</f>
        <v>343529162</v>
      </c>
      <c r="D27" s="16">
        <f t="shared" ref="D27:K27" si="0">D8+D10+D12+D13+D15+D17+D19+D21+D23+D25</f>
        <v>2092715</v>
      </c>
      <c r="E27" s="16">
        <f t="shared" si="0"/>
        <v>37300344</v>
      </c>
      <c r="F27" s="16">
        <f t="shared" si="0"/>
        <v>51669</v>
      </c>
      <c r="G27" s="16">
        <f t="shared" si="0"/>
        <v>130395458</v>
      </c>
      <c r="H27" s="16">
        <f t="shared" si="0"/>
        <v>20024139</v>
      </c>
      <c r="I27" s="16">
        <f t="shared" si="0"/>
        <v>20954659</v>
      </c>
      <c r="J27" s="16">
        <f t="shared" si="0"/>
        <v>107871268</v>
      </c>
      <c r="K27" s="66">
        <f t="shared" si="0"/>
        <v>24838910</v>
      </c>
    </row>
    <row r="28" spans="2:11" ht="16.5" thickBot="1" x14ac:dyDescent="0.3">
      <c r="B28" s="25"/>
      <c r="C28" s="26"/>
      <c r="D28" s="27"/>
      <c r="E28" s="27"/>
      <c r="F28" s="27"/>
      <c r="G28" s="27"/>
      <c r="H28" s="27"/>
      <c r="I28" s="27"/>
      <c r="J28" s="27"/>
      <c r="K28" s="67"/>
    </row>
    <row r="29" spans="2:11" ht="16.5" thickTop="1" x14ac:dyDescent="0.25">
      <c r="B29" s="1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5.75" x14ac:dyDescent="0.25">
      <c r="B30" s="33" t="s">
        <v>23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2:11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2" t="s">
        <v>0</v>
      </c>
      <c r="C33" s="3"/>
      <c r="D33" s="3"/>
      <c r="E33" s="7"/>
      <c r="F33" s="3"/>
      <c r="G33" s="7"/>
      <c r="H33" s="7"/>
      <c r="I33" s="7"/>
      <c r="J33" s="7"/>
      <c r="K33" s="7"/>
    </row>
    <row r="34" spans="2:11" ht="15.75" x14ac:dyDescent="0.25">
      <c r="B34" s="1"/>
      <c r="C34" s="36"/>
      <c r="E34" s="38"/>
      <c r="F34" s="38"/>
      <c r="G34" s="39" t="s">
        <v>1</v>
      </c>
      <c r="H34" s="38"/>
      <c r="I34" s="38"/>
      <c r="J34" s="38"/>
      <c r="K34" s="38"/>
    </row>
    <row r="35" spans="2:11" ht="15.75" x14ac:dyDescent="0.25">
      <c r="B35" s="6" t="s">
        <v>55</v>
      </c>
      <c r="C35" s="3"/>
      <c r="D35" s="3"/>
      <c r="E35" s="7"/>
      <c r="F35" s="3"/>
      <c r="G35" s="7"/>
      <c r="H35" s="7"/>
      <c r="I35" s="7"/>
      <c r="J35" s="7"/>
      <c r="K35" s="7"/>
    </row>
    <row r="36" spans="2:11" ht="16.5" thickBot="1" x14ac:dyDescent="0.3">
      <c r="B36" s="1"/>
      <c r="C36" s="36"/>
      <c r="D36" s="38"/>
      <c r="E36" s="38"/>
      <c r="F36" s="38"/>
      <c r="G36" s="38"/>
      <c r="H36" s="38"/>
      <c r="I36" s="38"/>
      <c r="J36" s="38"/>
      <c r="K36" s="76" t="s">
        <v>54</v>
      </c>
    </row>
    <row r="37" spans="2:11" ht="16.5" thickTop="1" x14ac:dyDescent="0.25">
      <c r="B37" s="41" t="s">
        <v>24</v>
      </c>
      <c r="C37" s="42" t="s">
        <v>3</v>
      </c>
      <c r="D37" s="62" t="s">
        <v>43</v>
      </c>
      <c r="E37" s="62" t="s">
        <v>40</v>
      </c>
      <c r="F37" s="43" t="s">
        <v>6</v>
      </c>
      <c r="G37" s="43" t="s">
        <v>7</v>
      </c>
      <c r="H37" s="43" t="s">
        <v>8</v>
      </c>
      <c r="I37" s="43" t="s">
        <v>25</v>
      </c>
      <c r="J37" s="44" t="s">
        <v>10</v>
      </c>
      <c r="K37" s="63" t="s">
        <v>11</v>
      </c>
    </row>
    <row r="38" spans="2:11" ht="15.75" x14ac:dyDescent="0.25">
      <c r="B38" s="45"/>
      <c r="C38" s="46"/>
      <c r="D38" s="47"/>
      <c r="E38" s="47"/>
      <c r="F38" s="47"/>
      <c r="G38" s="47"/>
      <c r="H38" s="47"/>
      <c r="I38" s="47"/>
      <c r="J38" s="48"/>
      <c r="K38" s="68"/>
    </row>
    <row r="39" spans="2:11" ht="15.75" x14ac:dyDescent="0.25">
      <c r="B39" s="45" t="s">
        <v>26</v>
      </c>
      <c r="C39" s="49">
        <f>SUM(D39:K39)</f>
        <v>26762323</v>
      </c>
      <c r="D39" s="50">
        <v>157228</v>
      </c>
      <c r="E39" s="50">
        <v>2825638</v>
      </c>
      <c r="F39" s="50">
        <v>0</v>
      </c>
      <c r="G39" s="50">
        <v>9579781</v>
      </c>
      <c r="H39" s="50">
        <v>1643577</v>
      </c>
      <c r="I39" s="73">
        <v>1615689</v>
      </c>
      <c r="J39" s="73">
        <v>9231644</v>
      </c>
      <c r="K39" s="74">
        <v>1708766</v>
      </c>
    </row>
    <row r="40" spans="2:11" ht="15.75" x14ac:dyDescent="0.25">
      <c r="B40" s="45" t="s">
        <v>27</v>
      </c>
      <c r="C40" s="49">
        <f>SUM(D40:K40)</f>
        <v>25092901</v>
      </c>
      <c r="D40" s="50">
        <v>135634</v>
      </c>
      <c r="E40" s="50">
        <v>2708588</v>
      </c>
      <c r="F40" s="50">
        <v>3804</v>
      </c>
      <c r="G40" s="50">
        <v>10100777</v>
      </c>
      <c r="H40" s="50">
        <v>1618402</v>
      </c>
      <c r="I40" s="73">
        <v>1435653</v>
      </c>
      <c r="J40" s="73">
        <v>7281690</v>
      </c>
      <c r="K40" s="74">
        <v>1808353</v>
      </c>
    </row>
    <row r="41" spans="2:11" ht="15.75" x14ac:dyDescent="0.25">
      <c r="B41" s="45" t="s">
        <v>28</v>
      </c>
      <c r="C41" s="49">
        <f>SUM(D41:K41)</f>
        <v>30745393</v>
      </c>
      <c r="D41" s="50">
        <v>184232</v>
      </c>
      <c r="E41" s="50">
        <v>2980186</v>
      </c>
      <c r="F41" s="50">
        <v>11310</v>
      </c>
      <c r="G41" s="50">
        <v>11593597</v>
      </c>
      <c r="H41" s="50">
        <v>1547456</v>
      </c>
      <c r="I41" s="73">
        <v>1611414</v>
      </c>
      <c r="J41" s="73">
        <v>9591023</v>
      </c>
      <c r="K41" s="74">
        <v>3226175</v>
      </c>
    </row>
    <row r="42" spans="2:11" ht="15.75" x14ac:dyDescent="0.25">
      <c r="B42" s="45"/>
      <c r="C42" s="49">
        <f t="shared" ref="C42:H42" si="1">C39+C40+C41</f>
        <v>82600617</v>
      </c>
      <c r="D42" s="50">
        <f t="shared" si="1"/>
        <v>477094</v>
      </c>
      <c r="E42" s="50">
        <f t="shared" si="1"/>
        <v>8514412</v>
      </c>
      <c r="F42" s="50">
        <f t="shared" si="1"/>
        <v>15114</v>
      </c>
      <c r="G42" s="50">
        <f t="shared" si="1"/>
        <v>31274155</v>
      </c>
      <c r="H42" s="50">
        <f t="shared" si="1"/>
        <v>4809435</v>
      </c>
      <c r="I42" s="73">
        <f>SUM(I39:I41)</f>
        <v>4662756</v>
      </c>
      <c r="J42" s="73">
        <f>SUM(J39:J41)</f>
        <v>26104357</v>
      </c>
      <c r="K42" s="74">
        <f>K39+K40+K41</f>
        <v>6743294</v>
      </c>
    </row>
    <row r="43" spans="2:11" ht="15.75" x14ac:dyDescent="0.25">
      <c r="B43" s="45" t="s">
        <v>29</v>
      </c>
      <c r="C43" s="49">
        <f>SUM(D43:K43)</f>
        <v>26721953</v>
      </c>
      <c r="D43" s="50">
        <v>126630</v>
      </c>
      <c r="E43" s="50">
        <v>3008794</v>
      </c>
      <c r="F43" s="50">
        <v>9189</v>
      </c>
      <c r="G43" s="50">
        <v>10828496</v>
      </c>
      <c r="H43" s="50">
        <v>1448216</v>
      </c>
      <c r="I43" s="73">
        <v>2100514</v>
      </c>
      <c r="J43" s="73">
        <v>7023764</v>
      </c>
      <c r="K43" s="74">
        <v>2176350</v>
      </c>
    </row>
    <row r="44" spans="2:11" ht="15.75" x14ac:dyDescent="0.25">
      <c r="B44" s="45" t="s">
        <v>30</v>
      </c>
      <c r="C44" s="49">
        <f>SUM(D44:K44)</f>
        <v>31972143</v>
      </c>
      <c r="D44" s="50">
        <v>194886</v>
      </c>
      <c r="E44" s="50">
        <v>3165002</v>
      </c>
      <c r="F44" s="50">
        <v>0</v>
      </c>
      <c r="G44" s="50">
        <v>13364665</v>
      </c>
      <c r="H44" s="50">
        <v>1510128</v>
      </c>
      <c r="I44" s="73">
        <v>1950320</v>
      </c>
      <c r="J44" s="73">
        <v>9385158</v>
      </c>
      <c r="K44" s="74">
        <v>2401984</v>
      </c>
    </row>
    <row r="45" spans="2:11" ht="15.75" x14ac:dyDescent="0.25">
      <c r="B45" s="45" t="s">
        <v>31</v>
      </c>
      <c r="C45" s="49">
        <f>SUM(D45:K45)</f>
        <v>27366376</v>
      </c>
      <c r="D45" s="50">
        <v>173910</v>
      </c>
      <c r="E45" s="50">
        <v>3130835</v>
      </c>
      <c r="F45" s="50">
        <v>499</v>
      </c>
      <c r="G45" s="50">
        <v>11552977</v>
      </c>
      <c r="H45" s="50">
        <v>1660769</v>
      </c>
      <c r="I45" s="73">
        <v>1840761</v>
      </c>
      <c r="J45" s="73">
        <v>7198388</v>
      </c>
      <c r="K45" s="74">
        <v>1808237</v>
      </c>
    </row>
    <row r="46" spans="2:11" ht="15.75" x14ac:dyDescent="0.25">
      <c r="B46" s="45"/>
      <c r="C46" s="49">
        <f t="shared" ref="C46:H46" si="2">C43+C44+C45</f>
        <v>86060472</v>
      </c>
      <c r="D46" s="50">
        <f t="shared" si="2"/>
        <v>495426</v>
      </c>
      <c r="E46" s="50">
        <f t="shared" si="2"/>
        <v>9304631</v>
      </c>
      <c r="F46" s="50">
        <f t="shared" si="2"/>
        <v>9688</v>
      </c>
      <c r="G46" s="50">
        <f t="shared" si="2"/>
        <v>35746138</v>
      </c>
      <c r="H46" s="50">
        <f t="shared" si="2"/>
        <v>4619113</v>
      </c>
      <c r="I46" s="73">
        <f>SUM(I43:I45)</f>
        <v>5891595</v>
      </c>
      <c r="J46" s="73">
        <f>SUM(J43:J45)</f>
        <v>23607310</v>
      </c>
      <c r="K46" s="74">
        <f>K43+K44+K45</f>
        <v>6386571</v>
      </c>
    </row>
    <row r="47" spans="2:11" ht="15.75" x14ac:dyDescent="0.25">
      <c r="B47" s="45" t="s">
        <v>32</v>
      </c>
      <c r="C47" s="49">
        <f>SUM(D47:K47)</f>
        <v>30746818</v>
      </c>
      <c r="D47" s="50">
        <v>200584</v>
      </c>
      <c r="E47" s="50">
        <v>3685583</v>
      </c>
      <c r="F47" s="50">
        <v>8789</v>
      </c>
      <c r="G47" s="50">
        <v>12317000</v>
      </c>
      <c r="H47" s="50">
        <v>1743159</v>
      </c>
      <c r="I47" s="73">
        <v>1759953</v>
      </c>
      <c r="J47" s="73">
        <v>9310554</v>
      </c>
      <c r="K47" s="74">
        <v>1721196</v>
      </c>
    </row>
    <row r="48" spans="2:11" ht="15.75" x14ac:dyDescent="0.25">
      <c r="B48" s="45" t="s">
        <v>41</v>
      </c>
      <c r="C48" s="49">
        <f>SUM(D48:K48)</f>
        <v>33513366</v>
      </c>
      <c r="D48" s="50">
        <v>209476</v>
      </c>
      <c r="E48" s="50">
        <v>3971993</v>
      </c>
      <c r="F48" s="50">
        <v>2971</v>
      </c>
      <c r="G48" s="50">
        <v>12105262</v>
      </c>
      <c r="H48" s="50">
        <v>2106177</v>
      </c>
      <c r="I48" s="73">
        <v>2286374</v>
      </c>
      <c r="J48" s="73">
        <v>11434317</v>
      </c>
      <c r="K48" s="74">
        <v>1396796</v>
      </c>
    </row>
    <row r="49" spans="2:11" ht="15.75" x14ac:dyDescent="0.25">
      <c r="B49" s="45" t="s">
        <v>34</v>
      </c>
      <c r="C49" s="49">
        <f>SUM(D49:K49)</f>
        <v>31025708</v>
      </c>
      <c r="D49" s="50">
        <v>287061</v>
      </c>
      <c r="E49" s="50">
        <v>3344484</v>
      </c>
      <c r="F49" s="50">
        <v>5635</v>
      </c>
      <c r="G49" s="50">
        <v>11436671</v>
      </c>
      <c r="H49" s="50">
        <v>1795971</v>
      </c>
      <c r="I49" s="73">
        <v>1885136</v>
      </c>
      <c r="J49" s="73">
        <v>10456831</v>
      </c>
      <c r="K49" s="74">
        <v>1813919</v>
      </c>
    </row>
    <row r="50" spans="2:11" ht="15.75" x14ac:dyDescent="0.25">
      <c r="B50" s="45"/>
      <c r="C50" s="49">
        <f t="shared" ref="C50:K50" si="3">C47+C48+C49</f>
        <v>95285892</v>
      </c>
      <c r="D50" s="50">
        <f t="shared" si="3"/>
        <v>697121</v>
      </c>
      <c r="E50" s="50">
        <f t="shared" si="3"/>
        <v>11002060</v>
      </c>
      <c r="F50" s="50">
        <f t="shared" si="3"/>
        <v>17395</v>
      </c>
      <c r="G50" s="50">
        <f t="shared" si="3"/>
        <v>35858933</v>
      </c>
      <c r="H50" s="50">
        <f t="shared" si="3"/>
        <v>5645307</v>
      </c>
      <c r="I50" s="73">
        <f>SUM(I47:I49)</f>
        <v>5931463</v>
      </c>
      <c r="J50" s="73">
        <f>SUM(J47:J49)</f>
        <v>31201702</v>
      </c>
      <c r="K50" s="74">
        <f t="shared" si="3"/>
        <v>4931911</v>
      </c>
    </row>
    <row r="51" spans="2:11" ht="15.75" x14ac:dyDescent="0.25">
      <c r="B51" s="45" t="s">
        <v>35</v>
      </c>
      <c r="C51" s="49">
        <f>SUM(D51:K51)</f>
        <v>25619487</v>
      </c>
      <c r="D51" s="50">
        <v>125749</v>
      </c>
      <c r="E51" s="50">
        <v>2786053</v>
      </c>
      <c r="F51" s="50">
        <v>0</v>
      </c>
      <c r="G51" s="50">
        <v>9508999</v>
      </c>
      <c r="H51" s="50">
        <v>1622115</v>
      </c>
      <c r="I51" s="73">
        <v>1490813</v>
      </c>
      <c r="J51" s="73">
        <v>8267479</v>
      </c>
      <c r="K51" s="74">
        <v>1818279</v>
      </c>
    </row>
    <row r="52" spans="2:11" ht="15.75" x14ac:dyDescent="0.25">
      <c r="B52" s="45" t="s">
        <v>36</v>
      </c>
      <c r="C52" s="49">
        <f>SUM(D52:K52)</f>
        <v>26018655</v>
      </c>
      <c r="D52" s="50">
        <v>144772</v>
      </c>
      <c r="E52" s="50">
        <v>2839424</v>
      </c>
      <c r="F52" s="50">
        <v>0</v>
      </c>
      <c r="G52" s="50">
        <v>9391425</v>
      </c>
      <c r="H52" s="50">
        <v>1715135</v>
      </c>
      <c r="I52" s="73">
        <v>1703982</v>
      </c>
      <c r="J52" s="73">
        <v>8497611</v>
      </c>
      <c r="K52" s="74">
        <v>1726306</v>
      </c>
    </row>
    <row r="53" spans="2:11" ht="15.75" x14ac:dyDescent="0.25">
      <c r="B53" s="45" t="s">
        <v>37</v>
      </c>
      <c r="C53" s="49">
        <f>SUM(D53:K53)</f>
        <v>27944039</v>
      </c>
      <c r="D53" s="50">
        <v>152553</v>
      </c>
      <c r="E53" s="50">
        <v>2853764</v>
      </c>
      <c r="F53" s="50">
        <v>9472</v>
      </c>
      <c r="G53" s="50">
        <v>8620803</v>
      </c>
      <c r="H53" s="50">
        <v>1608039</v>
      </c>
      <c r="I53" s="73">
        <v>1274050</v>
      </c>
      <c r="J53" s="73">
        <v>10192809</v>
      </c>
      <c r="K53" s="74">
        <v>3232549</v>
      </c>
    </row>
    <row r="54" spans="2:11" ht="15.75" x14ac:dyDescent="0.25">
      <c r="B54" s="45"/>
      <c r="C54" s="49">
        <f t="shared" ref="C54:K54" si="4">C51+C52+C53</f>
        <v>79582181</v>
      </c>
      <c r="D54" s="50">
        <f t="shared" si="4"/>
        <v>423074</v>
      </c>
      <c r="E54" s="50">
        <f t="shared" si="4"/>
        <v>8479241</v>
      </c>
      <c r="F54" s="50">
        <f t="shared" si="4"/>
        <v>9472</v>
      </c>
      <c r="G54" s="50">
        <f t="shared" si="4"/>
        <v>27521227</v>
      </c>
      <c r="H54" s="50">
        <f t="shared" si="4"/>
        <v>4945289</v>
      </c>
      <c r="I54" s="73">
        <f>SUM(I51:I53)</f>
        <v>4468845</v>
      </c>
      <c r="J54" s="75">
        <f>SUM(J51:J53)</f>
        <v>26957899</v>
      </c>
      <c r="K54" s="74">
        <f t="shared" si="4"/>
        <v>6777134</v>
      </c>
    </row>
    <row r="55" spans="2:11" ht="15" x14ac:dyDescent="0.25">
      <c r="B55" s="70" t="s">
        <v>38</v>
      </c>
      <c r="C55" s="49">
        <f t="shared" ref="C55:K55" si="5">C39+C40+C41+C43+C44+C45+C47+C48+C49+C51+C52+C53</f>
        <v>343529162</v>
      </c>
      <c r="D55" s="50">
        <f t="shared" si="5"/>
        <v>2092715</v>
      </c>
      <c r="E55" s="50">
        <f t="shared" si="5"/>
        <v>37300344</v>
      </c>
      <c r="F55" s="50">
        <f t="shared" si="5"/>
        <v>51669</v>
      </c>
      <c r="G55" s="50">
        <f t="shared" si="5"/>
        <v>130400453</v>
      </c>
      <c r="H55" s="50">
        <f t="shared" si="5"/>
        <v>20019144</v>
      </c>
      <c r="I55" s="50">
        <f t="shared" si="5"/>
        <v>20954659</v>
      </c>
      <c r="J55" s="51">
        <f t="shared" si="5"/>
        <v>107871268</v>
      </c>
      <c r="K55" s="69">
        <f t="shared" si="5"/>
        <v>24838910</v>
      </c>
    </row>
    <row r="56" spans="2:11" ht="16.5" thickBot="1" x14ac:dyDescent="0.3">
      <c r="B56" s="58"/>
      <c r="C56" s="26"/>
      <c r="D56" s="27"/>
      <c r="E56" s="27"/>
      <c r="F56" s="27"/>
      <c r="G56" s="27"/>
      <c r="H56" s="27"/>
      <c r="I56" s="27"/>
      <c r="J56" s="28"/>
      <c r="K56" s="67"/>
    </row>
    <row r="57" spans="2:11" ht="16.5" thickTop="1" x14ac:dyDescent="0.25">
      <c r="B57" s="1"/>
      <c r="C57" s="59"/>
      <c r="D57" s="60"/>
      <c r="E57" s="60"/>
      <c r="F57" s="60"/>
      <c r="G57" s="60"/>
      <c r="H57" s="60"/>
      <c r="I57" s="60"/>
      <c r="J57" s="60"/>
      <c r="K57" s="60"/>
    </row>
    <row r="58" spans="2:11" ht="15.75" x14ac:dyDescent="0.25">
      <c r="B58" s="33" t="s">
        <v>23</v>
      </c>
      <c r="C58" s="59"/>
      <c r="D58" s="60"/>
      <c r="E58" s="60"/>
      <c r="F58" s="60"/>
      <c r="G58" s="60"/>
      <c r="H58" s="60"/>
      <c r="I58" s="60"/>
      <c r="J58" s="60"/>
      <c r="K58" s="60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L57"/>
  <sheetViews>
    <sheetView workbookViewId="0">
      <selection activeCell="D26" sqref="D26:L26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12" width="13.7109375" style="37" customWidth="1"/>
    <col min="13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268" width="13.7109375" style="37" customWidth="1"/>
    <col min="269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524" width="13.7109375" style="37" customWidth="1"/>
    <col min="525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780" width="13.7109375" style="37" customWidth="1"/>
    <col min="781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036" width="13.7109375" style="37" customWidth="1"/>
    <col min="1037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292" width="13.7109375" style="37" customWidth="1"/>
    <col min="1293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548" width="13.7109375" style="37" customWidth="1"/>
    <col min="1549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1804" width="13.7109375" style="37" customWidth="1"/>
    <col min="1805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060" width="13.7109375" style="37" customWidth="1"/>
    <col min="2061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316" width="13.7109375" style="37" customWidth="1"/>
    <col min="2317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572" width="13.7109375" style="37" customWidth="1"/>
    <col min="2573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2828" width="13.7109375" style="37" customWidth="1"/>
    <col min="2829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084" width="13.7109375" style="37" customWidth="1"/>
    <col min="3085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340" width="13.7109375" style="37" customWidth="1"/>
    <col min="3341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596" width="13.7109375" style="37" customWidth="1"/>
    <col min="3597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3852" width="13.7109375" style="37" customWidth="1"/>
    <col min="3853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108" width="13.7109375" style="37" customWidth="1"/>
    <col min="4109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364" width="13.7109375" style="37" customWidth="1"/>
    <col min="4365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620" width="13.7109375" style="37" customWidth="1"/>
    <col min="4621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4876" width="13.7109375" style="37" customWidth="1"/>
    <col min="4877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132" width="13.7109375" style="37" customWidth="1"/>
    <col min="5133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388" width="13.7109375" style="37" customWidth="1"/>
    <col min="5389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644" width="13.7109375" style="37" customWidth="1"/>
    <col min="5645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5900" width="13.7109375" style="37" customWidth="1"/>
    <col min="5901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156" width="13.7109375" style="37" customWidth="1"/>
    <col min="6157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412" width="13.7109375" style="37" customWidth="1"/>
    <col min="6413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668" width="13.7109375" style="37" customWidth="1"/>
    <col min="6669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6924" width="13.7109375" style="37" customWidth="1"/>
    <col min="6925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180" width="13.7109375" style="37" customWidth="1"/>
    <col min="7181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436" width="13.7109375" style="37" customWidth="1"/>
    <col min="7437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692" width="13.7109375" style="37" customWidth="1"/>
    <col min="7693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7948" width="13.7109375" style="37" customWidth="1"/>
    <col min="7949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204" width="13.7109375" style="37" customWidth="1"/>
    <col min="8205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460" width="13.7109375" style="37" customWidth="1"/>
    <col min="8461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716" width="13.7109375" style="37" customWidth="1"/>
    <col min="8717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8972" width="13.7109375" style="37" customWidth="1"/>
    <col min="8973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228" width="13.7109375" style="37" customWidth="1"/>
    <col min="9229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484" width="13.7109375" style="37" customWidth="1"/>
    <col min="9485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740" width="13.7109375" style="37" customWidth="1"/>
    <col min="9741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9996" width="13.7109375" style="37" customWidth="1"/>
    <col min="9997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252" width="13.7109375" style="37" customWidth="1"/>
    <col min="10253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508" width="13.7109375" style="37" customWidth="1"/>
    <col min="10509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0764" width="13.7109375" style="37" customWidth="1"/>
    <col min="10765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020" width="13.7109375" style="37" customWidth="1"/>
    <col min="11021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276" width="13.7109375" style="37" customWidth="1"/>
    <col min="11277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532" width="13.7109375" style="37" customWidth="1"/>
    <col min="11533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1788" width="13.7109375" style="37" customWidth="1"/>
    <col min="11789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044" width="13.7109375" style="37" customWidth="1"/>
    <col min="12045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300" width="13.7109375" style="37" customWidth="1"/>
    <col min="12301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556" width="13.7109375" style="37" customWidth="1"/>
    <col min="12557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2812" width="13.7109375" style="37" customWidth="1"/>
    <col min="12813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068" width="13.7109375" style="37" customWidth="1"/>
    <col min="13069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324" width="13.7109375" style="37" customWidth="1"/>
    <col min="13325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580" width="13.7109375" style="37" customWidth="1"/>
    <col min="13581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3836" width="13.7109375" style="37" customWidth="1"/>
    <col min="13837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092" width="13.7109375" style="37" customWidth="1"/>
    <col min="14093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348" width="13.7109375" style="37" customWidth="1"/>
    <col min="14349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604" width="13.7109375" style="37" customWidth="1"/>
    <col min="14605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4860" width="13.7109375" style="37" customWidth="1"/>
    <col min="14861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116" width="13.7109375" style="37" customWidth="1"/>
    <col min="15117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372" width="13.7109375" style="37" customWidth="1"/>
    <col min="15373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628" width="13.7109375" style="37" customWidth="1"/>
    <col min="15629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5884" width="13.7109375" style="37" customWidth="1"/>
    <col min="15885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140" width="13.7109375" style="37" customWidth="1"/>
    <col min="16141" max="16384" width="9.140625" style="37"/>
  </cols>
  <sheetData>
    <row r="2" spans="2:12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  <c r="L2" s="72"/>
    </row>
    <row r="3" spans="2:12" ht="15.75" x14ac:dyDescent="0.25">
      <c r="B3" s="1"/>
      <c r="C3" s="5"/>
      <c r="D3" s="2"/>
      <c r="E3" s="2"/>
      <c r="F3" s="2"/>
      <c r="G3" s="2" t="s">
        <v>1</v>
      </c>
      <c r="H3" s="2"/>
      <c r="I3" s="2"/>
      <c r="J3" s="2"/>
      <c r="K3" s="2"/>
      <c r="L3" s="1"/>
    </row>
    <row r="4" spans="2:12" ht="15.75" x14ac:dyDescent="0.25">
      <c r="B4" s="77">
        <v>2012</v>
      </c>
      <c r="C4" s="3"/>
      <c r="D4" s="3"/>
      <c r="E4" s="7"/>
      <c r="F4" s="3"/>
      <c r="G4" s="7"/>
      <c r="H4" s="7"/>
      <c r="I4" s="7"/>
      <c r="J4" s="7"/>
      <c r="K4" s="7"/>
      <c r="L4" s="1"/>
    </row>
    <row r="5" spans="2:12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1"/>
      <c r="L5" s="76" t="s">
        <v>54</v>
      </c>
    </row>
    <row r="6" spans="2:12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63" t="s">
        <v>56</v>
      </c>
    </row>
    <row r="7" spans="2:12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17"/>
      <c r="L7" s="64"/>
    </row>
    <row r="8" spans="2:12" ht="15.75" x14ac:dyDescent="0.25">
      <c r="B8" s="20" t="s">
        <v>13</v>
      </c>
      <c r="C8" s="16">
        <f>D8+E8+F8+G8+H8+I8+J8+K8+L8</f>
        <v>150824147</v>
      </c>
      <c r="D8" s="16">
        <v>974301</v>
      </c>
      <c r="E8" s="16">
        <v>19267858</v>
      </c>
      <c r="F8" s="16">
        <v>34289</v>
      </c>
      <c r="G8" s="16">
        <v>57601986</v>
      </c>
      <c r="H8" s="16">
        <v>448728</v>
      </c>
      <c r="I8" s="16">
        <v>8484562</v>
      </c>
      <c r="J8" s="16">
        <v>50137502</v>
      </c>
      <c r="K8" s="16">
        <v>13873173</v>
      </c>
      <c r="L8" s="66">
        <v>1748</v>
      </c>
    </row>
    <row r="9" spans="2:12" ht="15.75" x14ac:dyDescent="0.25">
      <c r="B9" s="20"/>
      <c r="C9" s="16"/>
      <c r="D9" s="16"/>
      <c r="E9" s="16"/>
      <c r="F9" s="16"/>
      <c r="G9" s="16"/>
      <c r="H9" s="16"/>
      <c r="I9" s="16"/>
      <c r="J9" s="16"/>
      <c r="K9" s="16"/>
      <c r="L9" s="66"/>
    </row>
    <row r="10" spans="2:12" ht="15.75" x14ac:dyDescent="0.25">
      <c r="B10" s="20" t="s">
        <v>14</v>
      </c>
      <c r="C10" s="16">
        <f>D10+E10+F10+G10+H10+I10+J10+K10+L10</f>
        <v>8169229</v>
      </c>
      <c r="D10" s="16">
        <v>48813</v>
      </c>
      <c r="E10" s="16">
        <v>1149448</v>
      </c>
      <c r="F10" s="16">
        <v>8959</v>
      </c>
      <c r="G10" s="16">
        <v>2205080</v>
      </c>
      <c r="H10" s="16">
        <v>4718821</v>
      </c>
      <c r="I10" s="16">
        <v>0</v>
      </c>
      <c r="J10" s="16">
        <v>0</v>
      </c>
      <c r="K10" s="16">
        <v>0</v>
      </c>
      <c r="L10" s="66">
        <v>38108</v>
      </c>
    </row>
    <row r="11" spans="2:12" ht="15.75" x14ac:dyDescent="0.25">
      <c r="B11" s="20"/>
      <c r="C11" s="16"/>
      <c r="D11" s="16"/>
      <c r="E11" s="16"/>
      <c r="F11" s="16"/>
      <c r="G11" s="16"/>
      <c r="H11" s="16"/>
      <c r="I11" s="16"/>
      <c r="J11" s="16"/>
      <c r="K11" s="16"/>
      <c r="L11" s="66"/>
    </row>
    <row r="12" spans="2:12" ht="15.75" x14ac:dyDescent="0.25">
      <c r="B12" s="20" t="s">
        <v>15</v>
      </c>
      <c r="C12" s="16">
        <f>D12+E12+F12+G12+H12+I12+J12+K12+L12</f>
        <v>81914324</v>
      </c>
      <c r="D12" s="16">
        <v>529551</v>
      </c>
      <c r="E12" s="16">
        <v>8864757</v>
      </c>
      <c r="F12" s="16">
        <v>0</v>
      </c>
      <c r="G12" s="16">
        <v>25754504</v>
      </c>
      <c r="H12" s="16">
        <v>737256</v>
      </c>
      <c r="I12" s="16">
        <v>2362846</v>
      </c>
      <c r="J12" s="16">
        <v>37777324</v>
      </c>
      <c r="K12" s="16">
        <v>5855246</v>
      </c>
      <c r="L12" s="66">
        <v>32840</v>
      </c>
    </row>
    <row r="13" spans="2:12" ht="15.75" x14ac:dyDescent="0.25">
      <c r="B13" s="20"/>
      <c r="C13" s="16"/>
      <c r="D13" s="16"/>
      <c r="E13" s="16"/>
      <c r="F13" s="16"/>
      <c r="G13" s="16"/>
      <c r="H13" s="16"/>
      <c r="I13" s="16"/>
      <c r="J13" s="16"/>
      <c r="K13" s="16"/>
      <c r="L13" s="66"/>
    </row>
    <row r="14" spans="2:12" ht="15.75" x14ac:dyDescent="0.25">
      <c r="B14" s="20" t="s">
        <v>17</v>
      </c>
      <c r="C14" s="16">
        <f>D14+E14+F14+G14+H14+I14+J14+K14+L14</f>
        <v>5875959</v>
      </c>
      <c r="D14" s="16">
        <v>0</v>
      </c>
      <c r="E14" s="16">
        <v>678950</v>
      </c>
      <c r="F14" s="16">
        <v>0</v>
      </c>
      <c r="G14" s="16">
        <v>2101156</v>
      </c>
      <c r="H14" s="16">
        <v>3095853</v>
      </c>
      <c r="I14" s="16">
        <v>0</v>
      </c>
      <c r="J14" s="16">
        <v>0</v>
      </c>
      <c r="K14" s="16">
        <v>0</v>
      </c>
      <c r="L14" s="66">
        <v>0</v>
      </c>
    </row>
    <row r="15" spans="2:12" ht="15.75" x14ac:dyDescent="0.25">
      <c r="B15" s="20"/>
      <c r="C15" s="16"/>
      <c r="D15" s="16"/>
      <c r="E15" s="16"/>
      <c r="F15" s="16"/>
      <c r="G15" s="16"/>
      <c r="H15" s="16"/>
      <c r="I15" s="16"/>
      <c r="J15" s="16"/>
      <c r="K15" s="16"/>
      <c r="L15" s="66"/>
    </row>
    <row r="16" spans="2:12" ht="15.75" x14ac:dyDescent="0.25">
      <c r="B16" s="20" t="s">
        <v>18</v>
      </c>
      <c r="C16" s="16">
        <f>D16+E16+F16+G16+H16+I16+J16+K16+L16</f>
        <v>14176644</v>
      </c>
      <c r="D16" s="16">
        <v>30149</v>
      </c>
      <c r="E16" s="16">
        <v>1057819</v>
      </c>
      <c r="F16" s="16">
        <v>0</v>
      </c>
      <c r="G16" s="16">
        <v>5367312</v>
      </c>
      <c r="H16" s="16">
        <v>7113103</v>
      </c>
      <c r="I16" s="16">
        <v>608261</v>
      </c>
      <c r="J16" s="16">
        <v>0</v>
      </c>
      <c r="K16" s="16">
        <v>0</v>
      </c>
      <c r="L16" s="66">
        <v>0</v>
      </c>
    </row>
    <row r="17" spans="2:12" ht="15.75" x14ac:dyDescent="0.25">
      <c r="B17" s="20"/>
      <c r="C17" s="16"/>
      <c r="D17" s="16"/>
      <c r="E17" s="16"/>
      <c r="F17" s="16"/>
      <c r="G17" s="16"/>
      <c r="H17" s="16"/>
      <c r="I17" s="16"/>
      <c r="J17" s="16"/>
      <c r="K17" s="16"/>
      <c r="L17" s="66"/>
    </row>
    <row r="18" spans="2:12" ht="15.75" x14ac:dyDescent="0.25">
      <c r="B18" s="20" t="s">
        <v>19</v>
      </c>
      <c r="C18" s="16">
        <f>D18+E18+F18+G18+H18+I18+J18+K18+L18</f>
        <v>25606204</v>
      </c>
      <c r="D18" s="16">
        <v>74108</v>
      </c>
      <c r="E18" s="16">
        <v>2438856</v>
      </c>
      <c r="F18" s="16">
        <v>0</v>
      </c>
      <c r="G18" s="16">
        <v>9223667</v>
      </c>
      <c r="H18" s="16">
        <v>278664</v>
      </c>
      <c r="I18" s="16">
        <v>587866</v>
      </c>
      <c r="J18" s="16">
        <v>9828116</v>
      </c>
      <c r="K18" s="16">
        <v>3170849</v>
      </c>
      <c r="L18" s="66">
        <v>4078</v>
      </c>
    </row>
    <row r="19" spans="2:12" ht="15.75" x14ac:dyDescent="0.25">
      <c r="B19" s="20"/>
      <c r="C19" s="16"/>
      <c r="D19" s="16"/>
      <c r="E19" s="16"/>
      <c r="F19" s="16"/>
      <c r="G19" s="16"/>
      <c r="H19" s="16"/>
      <c r="I19" s="16"/>
      <c r="J19" s="16"/>
      <c r="K19" s="16"/>
      <c r="L19" s="66"/>
    </row>
    <row r="20" spans="2:12" ht="15.75" x14ac:dyDescent="0.25">
      <c r="B20" s="20" t="s">
        <v>20</v>
      </c>
      <c r="C20" s="16">
        <f>D20+E20+F20+G20+H20+I20+J20+K20+L20</f>
        <v>20183173</v>
      </c>
      <c r="D20" s="16">
        <v>28393</v>
      </c>
      <c r="E20" s="16">
        <v>2085727</v>
      </c>
      <c r="F20" s="16">
        <v>0</v>
      </c>
      <c r="G20" s="16">
        <v>8675606</v>
      </c>
      <c r="H20" s="16">
        <v>305497</v>
      </c>
      <c r="I20" s="16">
        <v>585035</v>
      </c>
      <c r="J20" s="16">
        <v>8502915</v>
      </c>
      <c r="K20" s="16">
        <v>0</v>
      </c>
      <c r="L20" s="66">
        <v>0</v>
      </c>
    </row>
    <row r="21" spans="2:12" ht="15.75" x14ac:dyDescent="0.25">
      <c r="B21" s="20"/>
      <c r="C21" s="16"/>
      <c r="D21" s="16"/>
      <c r="E21" s="16"/>
      <c r="F21" s="16"/>
      <c r="G21" s="16"/>
      <c r="H21" s="16"/>
      <c r="I21" s="16"/>
      <c r="J21" s="16"/>
      <c r="K21" s="16"/>
      <c r="L21" s="66"/>
    </row>
    <row r="22" spans="2:12" ht="15.75" x14ac:dyDescent="0.25">
      <c r="B22" s="20" t="s">
        <v>21</v>
      </c>
      <c r="C22" s="16">
        <f>D22+E22+F22+G22+H22+I22+J22+K22+L22</f>
        <v>5055702</v>
      </c>
      <c r="D22" s="16">
        <v>0</v>
      </c>
      <c r="E22" s="16">
        <v>524196</v>
      </c>
      <c r="F22" s="16">
        <v>0</v>
      </c>
      <c r="G22" s="16">
        <v>2333349</v>
      </c>
      <c r="H22" s="16">
        <v>2198157</v>
      </c>
      <c r="I22" s="16">
        <v>0</v>
      </c>
      <c r="J22" s="16">
        <v>0</v>
      </c>
      <c r="K22" s="16">
        <v>0</v>
      </c>
      <c r="L22" s="66">
        <v>0</v>
      </c>
    </row>
    <row r="23" spans="2:12" ht="15.75" x14ac:dyDescent="0.25">
      <c r="B23" s="20"/>
      <c r="C23" s="16"/>
      <c r="D23" s="16"/>
      <c r="E23" s="16"/>
      <c r="F23" s="16"/>
      <c r="G23" s="16"/>
      <c r="H23" s="16"/>
      <c r="I23" s="16"/>
      <c r="J23" s="16"/>
      <c r="K23" s="16"/>
      <c r="L23" s="66"/>
    </row>
    <row r="24" spans="2:12" ht="15.75" x14ac:dyDescent="0.25">
      <c r="B24" s="20" t="s">
        <v>22</v>
      </c>
      <c r="C24" s="16">
        <f>D24+E24+F24+G24+H24+I24+J24+K24+L24</f>
        <v>639036</v>
      </c>
      <c r="D24" s="16">
        <v>0</v>
      </c>
      <c r="E24" s="16">
        <v>27842</v>
      </c>
      <c r="F24" s="16">
        <v>0</v>
      </c>
      <c r="G24" s="16">
        <v>192956</v>
      </c>
      <c r="H24" s="16">
        <v>418238</v>
      </c>
      <c r="I24" s="16">
        <v>0</v>
      </c>
      <c r="J24" s="16">
        <v>0</v>
      </c>
      <c r="K24" s="16">
        <v>0</v>
      </c>
      <c r="L24" s="66">
        <v>0</v>
      </c>
    </row>
    <row r="25" spans="2:12" ht="15.75" x14ac:dyDescent="0.25">
      <c r="B25" s="20"/>
      <c r="C25" s="16"/>
      <c r="D25" s="16"/>
      <c r="E25" s="16"/>
      <c r="F25" s="16"/>
      <c r="G25" s="16"/>
      <c r="H25" s="16"/>
      <c r="I25" s="16"/>
      <c r="J25" s="16"/>
      <c r="K25" s="16"/>
      <c r="L25" s="66"/>
    </row>
    <row r="26" spans="2:12" ht="15.75" x14ac:dyDescent="0.25">
      <c r="B26" s="65" t="s">
        <v>3</v>
      </c>
      <c r="C26" s="16">
        <f>C8+C10+C12+C14+C16+C18+C20+C22+C24</f>
        <v>312444418</v>
      </c>
      <c r="D26" s="16">
        <f t="shared" ref="D26:L26" si="0">D8+D10+D12+D14+D16+D18+D20+D22+D24</f>
        <v>1685315</v>
      </c>
      <c r="E26" s="16">
        <f t="shared" si="0"/>
        <v>36095453</v>
      </c>
      <c r="F26" s="16">
        <f t="shared" si="0"/>
        <v>43248</v>
      </c>
      <c r="G26" s="16">
        <f t="shared" si="0"/>
        <v>113455616</v>
      </c>
      <c r="H26" s="16">
        <f t="shared" si="0"/>
        <v>19314317</v>
      </c>
      <c r="I26" s="16">
        <f t="shared" si="0"/>
        <v>12628570</v>
      </c>
      <c r="J26" s="16">
        <f t="shared" si="0"/>
        <v>106245857</v>
      </c>
      <c r="K26" s="16">
        <f t="shared" si="0"/>
        <v>22899268</v>
      </c>
      <c r="L26" s="66">
        <f t="shared" si="0"/>
        <v>76774</v>
      </c>
    </row>
    <row r="27" spans="2:12" ht="16.5" thickBot="1" x14ac:dyDescent="0.3">
      <c r="B27" s="25"/>
      <c r="C27" s="26"/>
      <c r="D27" s="27"/>
      <c r="E27" s="27"/>
      <c r="F27" s="27"/>
      <c r="G27" s="27"/>
      <c r="H27" s="27"/>
      <c r="I27" s="27"/>
      <c r="J27" s="27"/>
      <c r="K27" s="27"/>
      <c r="L27" s="67"/>
    </row>
    <row r="28" spans="2:12" ht="16.5" thickTop="1" x14ac:dyDescent="0.25">
      <c r="B28" s="1"/>
      <c r="C28" s="30"/>
      <c r="D28" s="31"/>
      <c r="E28" s="31"/>
      <c r="F28" s="31"/>
      <c r="G28" s="31"/>
      <c r="H28" s="31"/>
      <c r="I28" s="31"/>
      <c r="J28" s="31"/>
      <c r="K28" s="31"/>
    </row>
    <row r="29" spans="2:12" ht="15.75" x14ac:dyDescent="0.25">
      <c r="B29" s="33" t="s">
        <v>23</v>
      </c>
      <c r="C29" s="34"/>
      <c r="D29" s="35"/>
      <c r="E29" s="35"/>
      <c r="F29" s="35"/>
      <c r="G29" s="35"/>
      <c r="H29" s="35"/>
      <c r="I29" s="35"/>
      <c r="J29" s="35"/>
      <c r="K29" s="35"/>
      <c r="L29" s="1"/>
    </row>
    <row r="30" spans="2:12" ht="15.75" x14ac:dyDescent="0.25">
      <c r="B30" s="1"/>
      <c r="C30" s="34"/>
      <c r="D30" s="35"/>
      <c r="E30" s="35"/>
      <c r="F30" s="35"/>
      <c r="G30" s="35"/>
      <c r="H30" s="35"/>
      <c r="I30" s="35"/>
      <c r="J30" s="35"/>
      <c r="K30" s="35"/>
    </row>
    <row r="31" spans="2:12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2" ht="15.75" x14ac:dyDescent="0.25">
      <c r="B32" s="2" t="s">
        <v>0</v>
      </c>
      <c r="C32" s="3"/>
      <c r="D32" s="3"/>
      <c r="E32" s="7"/>
      <c r="F32" s="3"/>
      <c r="G32" s="7"/>
      <c r="H32" s="7"/>
      <c r="I32" s="7"/>
      <c r="J32" s="7"/>
      <c r="K32" s="7"/>
    </row>
    <row r="33" spans="2:12" ht="15.75" x14ac:dyDescent="0.25">
      <c r="B33" s="1"/>
      <c r="C33" s="36"/>
      <c r="E33" s="38"/>
      <c r="F33" s="38"/>
      <c r="G33" s="39" t="s">
        <v>1</v>
      </c>
      <c r="H33" s="38"/>
      <c r="I33" s="38"/>
      <c r="J33" s="38"/>
      <c r="K33" s="38"/>
    </row>
    <row r="34" spans="2:12" ht="15.75" x14ac:dyDescent="0.25">
      <c r="B34" s="6" t="s">
        <v>57</v>
      </c>
      <c r="C34" s="3"/>
      <c r="D34" s="3"/>
      <c r="E34" s="7"/>
      <c r="F34" s="3"/>
      <c r="G34" s="7"/>
      <c r="H34" s="7"/>
      <c r="I34" s="7"/>
      <c r="J34" s="7"/>
      <c r="K34" s="7"/>
    </row>
    <row r="35" spans="2:12" ht="16.5" thickBot="1" x14ac:dyDescent="0.3">
      <c r="B35" s="1"/>
      <c r="C35" s="36"/>
      <c r="D35" s="38"/>
      <c r="E35" s="38"/>
      <c r="F35" s="38"/>
      <c r="G35" s="38"/>
      <c r="H35" s="38"/>
      <c r="I35" s="38"/>
      <c r="J35" s="38"/>
      <c r="K35" s="1"/>
      <c r="L35" s="76" t="s">
        <v>54</v>
      </c>
    </row>
    <row r="36" spans="2:12" ht="16.5" thickTop="1" x14ac:dyDescent="0.25">
      <c r="B36" s="41" t="s">
        <v>24</v>
      </c>
      <c r="C36" s="42" t="s">
        <v>3</v>
      </c>
      <c r="D36" s="62" t="s">
        <v>43</v>
      </c>
      <c r="E36" s="62" t="s">
        <v>40</v>
      </c>
      <c r="F36" s="43" t="s">
        <v>6</v>
      </c>
      <c r="G36" s="43" t="s">
        <v>7</v>
      </c>
      <c r="H36" s="43" t="s">
        <v>8</v>
      </c>
      <c r="I36" s="43" t="s">
        <v>25</v>
      </c>
      <c r="J36" s="44" t="s">
        <v>10</v>
      </c>
      <c r="K36" s="12" t="s">
        <v>11</v>
      </c>
      <c r="L36" s="63" t="s">
        <v>56</v>
      </c>
    </row>
    <row r="37" spans="2:12" ht="15.75" x14ac:dyDescent="0.25">
      <c r="B37" s="45"/>
      <c r="C37" s="46"/>
      <c r="D37" s="46"/>
      <c r="E37" s="46"/>
      <c r="F37" s="46"/>
      <c r="G37" s="46"/>
      <c r="H37" s="46"/>
      <c r="I37" s="46"/>
      <c r="J37" s="78"/>
      <c r="K37" s="46"/>
      <c r="L37" s="79"/>
    </row>
    <row r="38" spans="2:12" ht="15.75" x14ac:dyDescent="0.25">
      <c r="B38" s="45" t="s">
        <v>26</v>
      </c>
      <c r="C38" s="49">
        <f>SUM(D38:L38)</f>
        <v>25329336</v>
      </c>
      <c r="D38" s="49">
        <v>145183</v>
      </c>
      <c r="E38" s="49">
        <v>2841029</v>
      </c>
      <c r="F38" s="49">
        <v>2897</v>
      </c>
      <c r="G38" s="49">
        <v>8592769</v>
      </c>
      <c r="H38" s="49">
        <v>1563818</v>
      </c>
      <c r="I38" s="80">
        <v>1349043</v>
      </c>
      <c r="J38" s="80">
        <v>8997719</v>
      </c>
      <c r="K38" s="49">
        <v>1810836</v>
      </c>
      <c r="L38" s="81">
        <v>26042</v>
      </c>
    </row>
    <row r="39" spans="2:12" ht="15.75" x14ac:dyDescent="0.25">
      <c r="B39" s="45" t="s">
        <v>27</v>
      </c>
      <c r="C39" s="49">
        <f>SUM(D39:L39)</f>
        <v>26117961</v>
      </c>
      <c r="D39" s="49">
        <v>139431</v>
      </c>
      <c r="E39" s="49">
        <v>2747664</v>
      </c>
      <c r="F39" s="49">
        <v>798</v>
      </c>
      <c r="G39" s="49">
        <v>8917561</v>
      </c>
      <c r="H39" s="49">
        <v>1761420</v>
      </c>
      <c r="I39" s="80">
        <v>1665623</v>
      </c>
      <c r="J39" s="80">
        <v>9072362</v>
      </c>
      <c r="K39" s="49">
        <v>1807402</v>
      </c>
      <c r="L39" s="81">
        <v>5700</v>
      </c>
    </row>
    <row r="40" spans="2:12" ht="15.75" x14ac:dyDescent="0.25">
      <c r="B40" s="45" t="s">
        <v>28</v>
      </c>
      <c r="C40" s="49">
        <f>SUM(D40:L40)</f>
        <v>24826411</v>
      </c>
      <c r="D40" s="49">
        <v>118515</v>
      </c>
      <c r="E40" s="49">
        <v>2767532</v>
      </c>
      <c r="F40" s="49">
        <v>0</v>
      </c>
      <c r="G40" s="49">
        <v>9045109</v>
      </c>
      <c r="H40" s="49">
        <v>1310683</v>
      </c>
      <c r="I40" s="80">
        <v>1446809</v>
      </c>
      <c r="J40" s="80">
        <v>8323581</v>
      </c>
      <c r="K40" s="49">
        <v>1814182</v>
      </c>
      <c r="L40" s="81">
        <v>0</v>
      </c>
    </row>
    <row r="41" spans="2:12" ht="15.75" x14ac:dyDescent="0.25">
      <c r="B41" s="45"/>
      <c r="C41" s="49">
        <f t="shared" ref="C41:H41" si="1">C38+C39+C40</f>
        <v>76273708</v>
      </c>
      <c r="D41" s="49">
        <f t="shared" si="1"/>
        <v>403129</v>
      </c>
      <c r="E41" s="49">
        <f t="shared" si="1"/>
        <v>8356225</v>
      </c>
      <c r="F41" s="49">
        <f t="shared" si="1"/>
        <v>3695</v>
      </c>
      <c r="G41" s="49">
        <f t="shared" si="1"/>
        <v>26555439</v>
      </c>
      <c r="H41" s="49">
        <f t="shared" si="1"/>
        <v>4635921</v>
      </c>
      <c r="I41" s="80">
        <f>SUM(I38:I40)</f>
        <v>4461475</v>
      </c>
      <c r="J41" s="80">
        <f>SUM(J38:J40)</f>
        <v>26393662</v>
      </c>
      <c r="K41" s="49">
        <f>K38+K39+K40</f>
        <v>5432420</v>
      </c>
      <c r="L41" s="81">
        <f>L38+L39+L40</f>
        <v>31742</v>
      </c>
    </row>
    <row r="42" spans="2:12" ht="15.75" x14ac:dyDescent="0.25">
      <c r="B42" s="45" t="s">
        <v>29</v>
      </c>
      <c r="C42" s="49">
        <f>SUM(D42:L42)</f>
        <v>25834268</v>
      </c>
      <c r="D42" s="49">
        <v>120861</v>
      </c>
      <c r="E42" s="49">
        <v>2789445</v>
      </c>
      <c r="F42" s="49">
        <v>0</v>
      </c>
      <c r="G42" s="49">
        <v>9576624</v>
      </c>
      <c r="H42" s="49">
        <v>1419228</v>
      </c>
      <c r="I42" s="80">
        <v>1432370</v>
      </c>
      <c r="J42" s="80">
        <v>8979176</v>
      </c>
      <c r="K42" s="49">
        <v>1512946</v>
      </c>
      <c r="L42" s="81">
        <v>3618</v>
      </c>
    </row>
    <row r="43" spans="2:12" ht="15.75" x14ac:dyDescent="0.25">
      <c r="B43" s="45" t="s">
        <v>30</v>
      </c>
      <c r="C43" s="49">
        <f>SUM(D43:L43)</f>
        <v>28182770</v>
      </c>
      <c r="D43" s="49">
        <v>136757</v>
      </c>
      <c r="E43" s="49">
        <v>3077656</v>
      </c>
      <c r="F43" s="49">
        <v>0</v>
      </c>
      <c r="G43" s="49">
        <v>10483607</v>
      </c>
      <c r="H43" s="49">
        <v>1474306</v>
      </c>
      <c r="I43" s="80">
        <v>765023</v>
      </c>
      <c r="J43" s="80">
        <v>8819194</v>
      </c>
      <c r="K43" s="49">
        <v>3426227</v>
      </c>
      <c r="L43" s="81">
        <v>0</v>
      </c>
    </row>
    <row r="44" spans="2:12" ht="15.75" x14ac:dyDescent="0.25">
      <c r="B44" s="45" t="s">
        <v>31</v>
      </c>
      <c r="C44" s="49">
        <f>SUM(D44:L44)</f>
        <v>26566127</v>
      </c>
      <c r="D44" s="49">
        <v>188065</v>
      </c>
      <c r="E44" s="49">
        <v>3284793</v>
      </c>
      <c r="F44" s="49">
        <v>2981</v>
      </c>
      <c r="G44" s="49">
        <v>10432229</v>
      </c>
      <c r="H44" s="49">
        <v>1384836</v>
      </c>
      <c r="I44" s="80">
        <v>700816</v>
      </c>
      <c r="J44" s="80">
        <v>9577313</v>
      </c>
      <c r="K44" s="49">
        <v>993485</v>
      </c>
      <c r="L44" s="81">
        <v>1609</v>
      </c>
    </row>
    <row r="45" spans="2:12" ht="15.75" x14ac:dyDescent="0.25">
      <c r="B45" s="45"/>
      <c r="C45" s="49">
        <f t="shared" ref="C45:H45" si="2">C42+C43+C44</f>
        <v>80583165</v>
      </c>
      <c r="D45" s="49">
        <f t="shared" si="2"/>
        <v>445683</v>
      </c>
      <c r="E45" s="49">
        <f t="shared" si="2"/>
        <v>9151894</v>
      </c>
      <c r="F45" s="49">
        <f t="shared" si="2"/>
        <v>2981</v>
      </c>
      <c r="G45" s="49">
        <f t="shared" si="2"/>
        <v>30492460</v>
      </c>
      <c r="H45" s="49">
        <f t="shared" si="2"/>
        <v>4278370</v>
      </c>
      <c r="I45" s="80">
        <f>SUM(I42:I44)</f>
        <v>2898209</v>
      </c>
      <c r="J45" s="80">
        <f>SUM(J42:J44)</f>
        <v>27375683</v>
      </c>
      <c r="K45" s="49">
        <f>K42+K43+K44</f>
        <v>5932658</v>
      </c>
      <c r="L45" s="81">
        <f>L42+L43+L44</f>
        <v>5227</v>
      </c>
    </row>
    <row r="46" spans="2:12" ht="15.75" x14ac:dyDescent="0.25">
      <c r="B46" s="45" t="s">
        <v>32</v>
      </c>
      <c r="C46" s="49">
        <f>SUM(D46:L46)</f>
        <v>28243214</v>
      </c>
      <c r="D46" s="49">
        <v>156157</v>
      </c>
      <c r="E46" s="49">
        <v>3344780</v>
      </c>
      <c r="F46" s="49">
        <v>15565</v>
      </c>
      <c r="G46" s="49">
        <v>10758696</v>
      </c>
      <c r="H46" s="49">
        <v>1756883</v>
      </c>
      <c r="I46" s="80">
        <v>1118078</v>
      </c>
      <c r="J46" s="80">
        <v>8570806</v>
      </c>
      <c r="K46" s="49">
        <v>2513462</v>
      </c>
      <c r="L46" s="81">
        <v>8787</v>
      </c>
    </row>
    <row r="47" spans="2:12" ht="15.75" x14ac:dyDescent="0.25">
      <c r="B47" s="45" t="s">
        <v>41</v>
      </c>
      <c r="C47" s="49">
        <f>SUM(D47:L47)</f>
        <v>30885382</v>
      </c>
      <c r="D47" s="49">
        <v>225154</v>
      </c>
      <c r="E47" s="49">
        <v>3912923</v>
      </c>
      <c r="F47" s="49">
        <v>3474</v>
      </c>
      <c r="G47" s="49">
        <v>10069166</v>
      </c>
      <c r="H47" s="49">
        <v>1941664</v>
      </c>
      <c r="I47" s="80">
        <v>1297340</v>
      </c>
      <c r="J47" s="80">
        <v>11732104</v>
      </c>
      <c r="K47" s="49">
        <v>1703557</v>
      </c>
      <c r="L47" s="81">
        <v>0</v>
      </c>
    </row>
    <row r="48" spans="2:12" ht="15.75" x14ac:dyDescent="0.25">
      <c r="B48" s="45" t="s">
        <v>34</v>
      </c>
      <c r="C48" s="49">
        <f>SUM(D48:L48)</f>
        <v>24666370</v>
      </c>
      <c r="D48" s="49">
        <v>91976</v>
      </c>
      <c r="E48" s="49">
        <v>2897837</v>
      </c>
      <c r="F48" s="49">
        <v>10652</v>
      </c>
      <c r="G48" s="49">
        <v>8892459</v>
      </c>
      <c r="H48" s="49">
        <v>1726675</v>
      </c>
      <c r="I48" s="80">
        <v>883339</v>
      </c>
      <c r="J48" s="80">
        <v>8826656</v>
      </c>
      <c r="K48" s="49">
        <v>1333678</v>
      </c>
      <c r="L48" s="81">
        <v>3098</v>
      </c>
    </row>
    <row r="49" spans="2:12" ht="15.75" x14ac:dyDescent="0.25">
      <c r="B49" s="45"/>
      <c r="C49" s="49">
        <f t="shared" ref="C49:K49" si="3">C46+C47+C48</f>
        <v>83794966</v>
      </c>
      <c r="D49" s="49">
        <f t="shared" si="3"/>
        <v>473287</v>
      </c>
      <c r="E49" s="49">
        <f t="shared" si="3"/>
        <v>10155540</v>
      </c>
      <c r="F49" s="49">
        <f t="shared" si="3"/>
        <v>29691</v>
      </c>
      <c r="G49" s="49">
        <f t="shared" si="3"/>
        <v>29720321</v>
      </c>
      <c r="H49" s="49">
        <f t="shared" si="3"/>
        <v>5425222</v>
      </c>
      <c r="I49" s="80">
        <f>SUM(I46:I48)</f>
        <v>3298757</v>
      </c>
      <c r="J49" s="80">
        <f>SUM(J46:J48)</f>
        <v>29129566</v>
      </c>
      <c r="K49" s="49">
        <f t="shared" si="3"/>
        <v>5550697</v>
      </c>
      <c r="L49" s="81">
        <f>L46+L47+L48</f>
        <v>11885</v>
      </c>
    </row>
    <row r="50" spans="2:12" ht="15.75" x14ac:dyDescent="0.25">
      <c r="B50" s="45" t="s">
        <v>35</v>
      </c>
      <c r="C50" s="49">
        <f>SUM(D50:L50)</f>
        <v>25384205</v>
      </c>
      <c r="D50" s="49">
        <v>140075</v>
      </c>
      <c r="E50" s="49">
        <v>2952920</v>
      </c>
      <c r="F50" s="49">
        <v>894</v>
      </c>
      <c r="G50" s="49">
        <v>9785143</v>
      </c>
      <c r="H50" s="49">
        <v>1708264</v>
      </c>
      <c r="I50" s="80">
        <v>726405</v>
      </c>
      <c r="J50" s="80">
        <v>8752084</v>
      </c>
      <c r="K50" s="49">
        <v>1316320</v>
      </c>
      <c r="L50" s="81">
        <v>2100</v>
      </c>
    </row>
    <row r="51" spans="2:12" ht="15.75" x14ac:dyDescent="0.25">
      <c r="B51" s="45" t="s">
        <v>36</v>
      </c>
      <c r="C51" s="49">
        <f>SUM(D51:L51)</f>
        <v>23175171</v>
      </c>
      <c r="D51" s="49">
        <v>114034</v>
      </c>
      <c r="E51" s="49">
        <v>2611438</v>
      </c>
      <c r="F51" s="49">
        <v>5987</v>
      </c>
      <c r="G51" s="49">
        <v>8552640</v>
      </c>
      <c r="H51" s="49">
        <v>1655236</v>
      </c>
      <c r="I51" s="80">
        <v>745020</v>
      </c>
      <c r="J51" s="80">
        <v>7636730</v>
      </c>
      <c r="K51" s="49">
        <v>1838280</v>
      </c>
      <c r="L51" s="81">
        <v>15806</v>
      </c>
    </row>
    <row r="52" spans="2:12" ht="15.75" x14ac:dyDescent="0.25">
      <c r="B52" s="45" t="s">
        <v>37</v>
      </c>
      <c r="C52" s="49">
        <f>SUM(D52:L52)</f>
        <v>23233203</v>
      </c>
      <c r="D52" s="49">
        <v>109107</v>
      </c>
      <c r="E52" s="49">
        <v>2867436</v>
      </c>
      <c r="F52" s="49">
        <v>0</v>
      </c>
      <c r="G52" s="49">
        <v>8349613</v>
      </c>
      <c r="H52" s="49">
        <v>1611304</v>
      </c>
      <c r="I52" s="80">
        <v>498704</v>
      </c>
      <c r="J52" s="80">
        <v>6958132</v>
      </c>
      <c r="K52" s="49">
        <v>2828893</v>
      </c>
      <c r="L52" s="81">
        <v>10014</v>
      </c>
    </row>
    <row r="53" spans="2:12" ht="15.75" x14ac:dyDescent="0.25">
      <c r="B53" s="45"/>
      <c r="C53" s="49">
        <f t="shared" ref="C53:K53" si="4">C50+C51+C52</f>
        <v>71792579</v>
      </c>
      <c r="D53" s="49">
        <f t="shared" si="4"/>
        <v>363216</v>
      </c>
      <c r="E53" s="49">
        <f t="shared" si="4"/>
        <v>8431794</v>
      </c>
      <c r="F53" s="49">
        <f t="shared" si="4"/>
        <v>6881</v>
      </c>
      <c r="G53" s="49">
        <f t="shared" si="4"/>
        <v>26687396</v>
      </c>
      <c r="H53" s="49">
        <f t="shared" si="4"/>
        <v>4974804</v>
      </c>
      <c r="I53" s="80">
        <f>SUM(I50:I52)</f>
        <v>1970129</v>
      </c>
      <c r="J53" s="82">
        <f>SUM(J50:J52)</f>
        <v>23346946</v>
      </c>
      <c r="K53" s="49">
        <f t="shared" si="4"/>
        <v>5983493</v>
      </c>
      <c r="L53" s="81">
        <f>L50+L51+L52</f>
        <v>27920</v>
      </c>
    </row>
    <row r="54" spans="2:12" ht="15" x14ac:dyDescent="0.25">
      <c r="B54" s="70" t="s">
        <v>38</v>
      </c>
      <c r="C54" s="49">
        <f t="shared" ref="C54:K54" si="5">C38+C39+C40+C42+C43+C44+C46+C47+C48+C50+C51+C52</f>
        <v>312444418</v>
      </c>
      <c r="D54" s="49">
        <f t="shared" si="5"/>
        <v>1685315</v>
      </c>
      <c r="E54" s="49">
        <f t="shared" si="5"/>
        <v>36095453</v>
      </c>
      <c r="F54" s="49">
        <f t="shared" si="5"/>
        <v>43248</v>
      </c>
      <c r="G54" s="49">
        <f t="shared" si="5"/>
        <v>113455616</v>
      </c>
      <c r="H54" s="49">
        <f t="shared" si="5"/>
        <v>19314317</v>
      </c>
      <c r="I54" s="49">
        <f t="shared" si="5"/>
        <v>12628570</v>
      </c>
      <c r="J54" s="83">
        <f t="shared" si="5"/>
        <v>106245857</v>
      </c>
      <c r="K54" s="49">
        <f t="shared" si="5"/>
        <v>22899268</v>
      </c>
      <c r="L54" s="81">
        <f>L38+L39+L40+L42+L43+L44+L46+L47+L48+L50+L51+L52</f>
        <v>76774</v>
      </c>
    </row>
    <row r="55" spans="2:12" ht="16.5" thickBot="1" x14ac:dyDescent="0.3">
      <c r="B55" s="58"/>
      <c r="C55" s="26"/>
      <c r="D55" s="27"/>
      <c r="E55" s="27"/>
      <c r="F55" s="27"/>
      <c r="G55" s="27"/>
      <c r="H55" s="27"/>
      <c r="I55" s="27"/>
      <c r="J55" s="28"/>
      <c r="K55" s="27"/>
      <c r="L55" s="67"/>
    </row>
    <row r="56" spans="2:12" ht="16.5" thickTop="1" x14ac:dyDescent="0.25">
      <c r="B56" s="1"/>
      <c r="C56" s="59"/>
      <c r="D56" s="60"/>
      <c r="E56" s="60"/>
      <c r="F56" s="60"/>
      <c r="G56" s="60"/>
      <c r="H56" s="60"/>
      <c r="I56" s="60"/>
      <c r="J56" s="60"/>
      <c r="K56" s="60"/>
    </row>
    <row r="57" spans="2:12" ht="15.75" x14ac:dyDescent="0.25">
      <c r="B57" s="33" t="s">
        <v>23</v>
      </c>
      <c r="C57" s="59"/>
      <c r="D57" s="60"/>
      <c r="E57" s="60"/>
      <c r="F57" s="60"/>
      <c r="G57" s="60"/>
      <c r="H57" s="60"/>
      <c r="I57" s="60"/>
      <c r="J57" s="60"/>
      <c r="K57" s="60"/>
    </row>
  </sheetData>
  <pageMargins left="0.75" right="0.75" top="1" bottom="1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L57"/>
  <sheetViews>
    <sheetView workbookViewId="0">
      <selection activeCell="D26" sqref="D26:L26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12" width="13.7109375" style="37" customWidth="1"/>
    <col min="13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268" width="13.7109375" style="37" customWidth="1"/>
    <col min="269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524" width="13.7109375" style="37" customWidth="1"/>
    <col min="525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780" width="13.7109375" style="37" customWidth="1"/>
    <col min="781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036" width="13.7109375" style="37" customWidth="1"/>
    <col min="1037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292" width="13.7109375" style="37" customWidth="1"/>
    <col min="1293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548" width="13.7109375" style="37" customWidth="1"/>
    <col min="1549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1804" width="13.7109375" style="37" customWidth="1"/>
    <col min="1805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060" width="13.7109375" style="37" customWidth="1"/>
    <col min="2061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316" width="13.7109375" style="37" customWidth="1"/>
    <col min="2317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572" width="13.7109375" style="37" customWidth="1"/>
    <col min="2573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2828" width="13.7109375" style="37" customWidth="1"/>
    <col min="2829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084" width="13.7109375" style="37" customWidth="1"/>
    <col min="3085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340" width="13.7109375" style="37" customWidth="1"/>
    <col min="3341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596" width="13.7109375" style="37" customWidth="1"/>
    <col min="3597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3852" width="13.7109375" style="37" customWidth="1"/>
    <col min="3853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108" width="13.7109375" style="37" customWidth="1"/>
    <col min="4109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364" width="13.7109375" style="37" customWidth="1"/>
    <col min="4365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620" width="13.7109375" style="37" customWidth="1"/>
    <col min="4621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4876" width="13.7109375" style="37" customWidth="1"/>
    <col min="4877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132" width="13.7109375" style="37" customWidth="1"/>
    <col min="5133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388" width="13.7109375" style="37" customWidth="1"/>
    <col min="5389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644" width="13.7109375" style="37" customWidth="1"/>
    <col min="5645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5900" width="13.7109375" style="37" customWidth="1"/>
    <col min="5901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156" width="13.7109375" style="37" customWidth="1"/>
    <col min="6157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412" width="13.7109375" style="37" customWidth="1"/>
    <col min="6413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668" width="13.7109375" style="37" customWidth="1"/>
    <col min="6669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6924" width="13.7109375" style="37" customWidth="1"/>
    <col min="6925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180" width="13.7109375" style="37" customWidth="1"/>
    <col min="7181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436" width="13.7109375" style="37" customWidth="1"/>
    <col min="7437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692" width="13.7109375" style="37" customWidth="1"/>
    <col min="7693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7948" width="13.7109375" style="37" customWidth="1"/>
    <col min="7949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204" width="13.7109375" style="37" customWidth="1"/>
    <col min="8205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460" width="13.7109375" style="37" customWidth="1"/>
    <col min="8461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716" width="13.7109375" style="37" customWidth="1"/>
    <col min="8717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8972" width="13.7109375" style="37" customWidth="1"/>
    <col min="8973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228" width="13.7109375" style="37" customWidth="1"/>
    <col min="9229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484" width="13.7109375" style="37" customWidth="1"/>
    <col min="9485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740" width="13.7109375" style="37" customWidth="1"/>
    <col min="9741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9996" width="13.7109375" style="37" customWidth="1"/>
    <col min="9997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252" width="13.7109375" style="37" customWidth="1"/>
    <col min="10253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508" width="13.7109375" style="37" customWidth="1"/>
    <col min="10509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0764" width="13.7109375" style="37" customWidth="1"/>
    <col min="10765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020" width="13.7109375" style="37" customWidth="1"/>
    <col min="11021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276" width="13.7109375" style="37" customWidth="1"/>
    <col min="11277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532" width="13.7109375" style="37" customWidth="1"/>
    <col min="11533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1788" width="13.7109375" style="37" customWidth="1"/>
    <col min="11789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044" width="13.7109375" style="37" customWidth="1"/>
    <col min="12045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300" width="13.7109375" style="37" customWidth="1"/>
    <col min="12301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556" width="13.7109375" style="37" customWidth="1"/>
    <col min="12557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2812" width="13.7109375" style="37" customWidth="1"/>
    <col min="12813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068" width="13.7109375" style="37" customWidth="1"/>
    <col min="13069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324" width="13.7109375" style="37" customWidth="1"/>
    <col min="13325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580" width="13.7109375" style="37" customWidth="1"/>
    <col min="13581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3836" width="13.7109375" style="37" customWidth="1"/>
    <col min="13837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092" width="13.7109375" style="37" customWidth="1"/>
    <col min="14093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348" width="13.7109375" style="37" customWidth="1"/>
    <col min="14349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604" width="13.7109375" style="37" customWidth="1"/>
    <col min="14605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4860" width="13.7109375" style="37" customWidth="1"/>
    <col min="14861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116" width="13.7109375" style="37" customWidth="1"/>
    <col min="15117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372" width="13.7109375" style="37" customWidth="1"/>
    <col min="15373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628" width="13.7109375" style="37" customWidth="1"/>
    <col min="15629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5884" width="13.7109375" style="37" customWidth="1"/>
    <col min="15885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140" width="13.7109375" style="37" customWidth="1"/>
    <col min="16141" max="16384" width="9.140625" style="37"/>
  </cols>
  <sheetData>
    <row r="2" spans="2:12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  <c r="L2" s="72"/>
    </row>
    <row r="3" spans="2:12" ht="15.75" x14ac:dyDescent="0.25">
      <c r="B3" s="1"/>
      <c r="C3" s="5"/>
      <c r="D3" s="2"/>
      <c r="E3" s="2"/>
      <c r="F3" s="2"/>
      <c r="G3" s="2" t="s">
        <v>1</v>
      </c>
      <c r="H3" s="2"/>
      <c r="I3" s="2"/>
      <c r="J3" s="2"/>
      <c r="K3" s="2"/>
      <c r="L3" s="1"/>
    </row>
    <row r="4" spans="2:12" ht="15.75" x14ac:dyDescent="0.25">
      <c r="B4" s="77">
        <v>2013</v>
      </c>
      <c r="C4" s="3"/>
      <c r="D4" s="3"/>
      <c r="E4" s="7"/>
      <c r="F4" s="3"/>
      <c r="G4" s="7"/>
      <c r="H4" s="7"/>
      <c r="I4" s="7"/>
      <c r="J4" s="7"/>
      <c r="K4" s="7"/>
      <c r="L4" s="1"/>
    </row>
    <row r="5" spans="2:12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1"/>
      <c r="L5" s="76" t="s">
        <v>54</v>
      </c>
    </row>
    <row r="6" spans="2:12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63" t="s">
        <v>56</v>
      </c>
    </row>
    <row r="7" spans="2:12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17"/>
      <c r="L7" s="64"/>
    </row>
    <row r="8" spans="2:12" ht="15.75" x14ac:dyDescent="0.25">
      <c r="B8" s="20" t="s">
        <v>13</v>
      </c>
      <c r="C8" s="16">
        <f>D8+E8+F8+G8+H8+I8+J8+K8+L8</f>
        <v>133170579</v>
      </c>
      <c r="D8" s="16">
        <v>895509</v>
      </c>
      <c r="E8" s="16">
        <v>18841205</v>
      </c>
      <c r="F8" s="16">
        <v>4375</v>
      </c>
      <c r="G8" s="16">
        <v>54736092</v>
      </c>
      <c r="H8" s="16">
        <v>388828</v>
      </c>
      <c r="I8" s="16">
        <v>5049725</v>
      </c>
      <c r="J8" s="16">
        <v>40618045</v>
      </c>
      <c r="K8" s="16">
        <v>12599392</v>
      </c>
      <c r="L8" s="66">
        <v>37408</v>
      </c>
    </row>
    <row r="9" spans="2:12" ht="15.75" x14ac:dyDescent="0.25">
      <c r="B9" s="20"/>
      <c r="C9" s="16"/>
      <c r="D9" s="16"/>
      <c r="E9" s="16"/>
      <c r="F9" s="16"/>
      <c r="G9" s="16"/>
      <c r="H9" s="16"/>
      <c r="I9" s="16"/>
      <c r="J9" s="16"/>
      <c r="K9" s="16"/>
      <c r="L9" s="66"/>
    </row>
    <row r="10" spans="2:12" ht="15.75" x14ac:dyDescent="0.25">
      <c r="B10" s="20" t="s">
        <v>14</v>
      </c>
      <c r="C10" s="16">
        <f>D10+E10+F10+G10+H10+I10+J10+K10+L10</f>
        <v>8410177</v>
      </c>
      <c r="D10" s="16">
        <v>38356</v>
      </c>
      <c r="E10" s="16">
        <v>1011052</v>
      </c>
      <c r="F10" s="16">
        <v>5879</v>
      </c>
      <c r="G10" s="16">
        <v>2522606</v>
      </c>
      <c r="H10" s="16">
        <v>4775272</v>
      </c>
      <c r="I10" s="16">
        <v>0</v>
      </c>
      <c r="J10" s="16">
        <v>0</v>
      </c>
      <c r="K10" s="16">
        <v>0</v>
      </c>
      <c r="L10" s="66">
        <v>57012</v>
      </c>
    </row>
    <row r="11" spans="2:12" ht="15.75" x14ac:dyDescent="0.25">
      <c r="B11" s="20"/>
      <c r="C11" s="16"/>
      <c r="D11" s="16"/>
      <c r="E11" s="16"/>
      <c r="F11" s="16"/>
      <c r="G11" s="16"/>
      <c r="H11" s="16"/>
      <c r="I11" s="16"/>
      <c r="J11" s="16"/>
      <c r="K11" s="16"/>
      <c r="L11" s="66"/>
    </row>
    <row r="12" spans="2:12" ht="15.75" x14ac:dyDescent="0.25">
      <c r="B12" s="20" t="s">
        <v>15</v>
      </c>
      <c r="C12" s="16">
        <f>D12+E12+F12+G12+H12+I12+J12+K12+L12</f>
        <v>78102956</v>
      </c>
      <c r="D12" s="16">
        <v>491892</v>
      </c>
      <c r="E12" s="16">
        <v>8517605</v>
      </c>
      <c r="F12" s="16">
        <v>0</v>
      </c>
      <c r="G12" s="16">
        <v>24013390</v>
      </c>
      <c r="H12" s="16">
        <v>1222608</v>
      </c>
      <c r="I12" s="16">
        <v>744474</v>
      </c>
      <c r="J12" s="16">
        <v>36958770</v>
      </c>
      <c r="K12" s="16">
        <v>6153318</v>
      </c>
      <c r="L12" s="66">
        <v>899</v>
      </c>
    </row>
    <row r="13" spans="2:12" ht="15.75" x14ac:dyDescent="0.25">
      <c r="B13" s="20"/>
      <c r="C13" s="16"/>
      <c r="D13" s="16"/>
      <c r="E13" s="16"/>
      <c r="F13" s="16"/>
      <c r="G13" s="16"/>
      <c r="H13" s="16"/>
      <c r="I13" s="16"/>
      <c r="J13" s="16"/>
      <c r="K13" s="16"/>
      <c r="L13" s="66"/>
    </row>
    <row r="14" spans="2:12" ht="15.75" x14ac:dyDescent="0.25">
      <c r="B14" s="20" t="s">
        <v>17</v>
      </c>
      <c r="C14" s="16">
        <f>D14+E14+F14+G14+H14+I14+J14+K14+L14</f>
        <v>6226338</v>
      </c>
      <c r="D14" s="16">
        <v>20744</v>
      </c>
      <c r="E14" s="16">
        <v>668997</v>
      </c>
      <c r="F14" s="16">
        <v>0</v>
      </c>
      <c r="G14" s="16">
        <v>1978091</v>
      </c>
      <c r="H14" s="16">
        <v>3558506</v>
      </c>
      <c r="I14" s="16">
        <v>0</v>
      </c>
      <c r="J14" s="16">
        <v>0</v>
      </c>
      <c r="K14" s="16">
        <v>0</v>
      </c>
      <c r="L14" s="66">
        <v>0</v>
      </c>
    </row>
    <row r="15" spans="2:12" ht="15.75" x14ac:dyDescent="0.25">
      <c r="B15" s="20"/>
      <c r="C15" s="16"/>
      <c r="D15" s="16"/>
      <c r="E15" s="16"/>
      <c r="F15" s="16"/>
      <c r="G15" s="16"/>
      <c r="H15" s="16"/>
      <c r="I15" s="16"/>
      <c r="J15" s="16"/>
      <c r="K15" s="16"/>
      <c r="L15" s="66"/>
    </row>
    <row r="16" spans="2:12" ht="15.75" x14ac:dyDescent="0.25">
      <c r="B16" s="20" t="s">
        <v>18</v>
      </c>
      <c r="C16" s="16">
        <f>D16+E16+F16+G16+H16+I16+J16+K16+L16</f>
        <v>14199462</v>
      </c>
      <c r="D16" s="16">
        <v>12355</v>
      </c>
      <c r="E16" s="16">
        <v>1047307</v>
      </c>
      <c r="F16" s="16">
        <v>0</v>
      </c>
      <c r="G16" s="16">
        <v>5590229</v>
      </c>
      <c r="H16" s="16">
        <v>7053844</v>
      </c>
      <c r="I16" s="16">
        <v>495727</v>
      </c>
      <c r="J16" s="16">
        <v>0</v>
      </c>
      <c r="K16" s="16">
        <v>0</v>
      </c>
      <c r="L16" s="66">
        <v>0</v>
      </c>
    </row>
    <row r="17" spans="2:12" ht="15.75" x14ac:dyDescent="0.25">
      <c r="B17" s="20"/>
      <c r="C17" s="16"/>
      <c r="D17" s="16"/>
      <c r="E17" s="16"/>
      <c r="F17" s="16"/>
      <c r="G17" s="16"/>
      <c r="H17" s="16"/>
      <c r="I17" s="16"/>
      <c r="J17" s="16"/>
      <c r="K17" s="16"/>
      <c r="L17" s="66"/>
    </row>
    <row r="18" spans="2:12" ht="15.75" x14ac:dyDescent="0.25">
      <c r="B18" s="20" t="s">
        <v>19</v>
      </c>
      <c r="C18" s="16">
        <f>D18+E18+F18+G18+H18+I18+J18+K18+L18</f>
        <v>25850782</v>
      </c>
      <c r="D18" s="16">
        <v>68949</v>
      </c>
      <c r="E18" s="16">
        <v>2469595</v>
      </c>
      <c r="F18" s="16">
        <v>0</v>
      </c>
      <c r="G18" s="16">
        <v>9088624</v>
      </c>
      <c r="H18" s="16">
        <v>239318</v>
      </c>
      <c r="I18" s="16">
        <v>697469</v>
      </c>
      <c r="J18" s="16">
        <v>10013116</v>
      </c>
      <c r="K18" s="16">
        <v>3266256</v>
      </c>
      <c r="L18" s="66">
        <v>7455</v>
      </c>
    </row>
    <row r="19" spans="2:12" ht="15.75" x14ac:dyDescent="0.25">
      <c r="B19" s="20"/>
      <c r="C19" s="16"/>
      <c r="D19" s="16"/>
      <c r="E19" s="16"/>
      <c r="F19" s="16"/>
      <c r="G19" s="16"/>
      <c r="H19" s="16"/>
      <c r="I19" s="16"/>
      <c r="J19" s="16"/>
      <c r="K19" s="16"/>
      <c r="L19" s="66"/>
    </row>
    <row r="20" spans="2:12" ht="15.75" x14ac:dyDescent="0.25">
      <c r="B20" s="20" t="s">
        <v>20</v>
      </c>
      <c r="C20" s="16">
        <f>D20+E20+F20+G20+H20+I20+J20+K20+L20</f>
        <v>20350126</v>
      </c>
      <c r="D20" s="16">
        <v>87977</v>
      </c>
      <c r="E20" s="16">
        <v>2160518</v>
      </c>
      <c r="F20" s="16">
        <v>0</v>
      </c>
      <c r="G20" s="16">
        <v>8790018</v>
      </c>
      <c r="H20" s="16">
        <v>261547</v>
      </c>
      <c r="I20" s="16">
        <v>633743</v>
      </c>
      <c r="J20" s="16">
        <v>8416323</v>
      </c>
      <c r="K20" s="16">
        <v>0</v>
      </c>
      <c r="L20" s="66">
        <v>0</v>
      </c>
    </row>
    <row r="21" spans="2:12" ht="15.75" x14ac:dyDescent="0.25">
      <c r="B21" s="20"/>
      <c r="C21" s="16"/>
      <c r="D21" s="16"/>
      <c r="E21" s="16"/>
      <c r="F21" s="16"/>
      <c r="G21" s="16"/>
      <c r="H21" s="16"/>
      <c r="I21" s="16"/>
      <c r="J21" s="16"/>
      <c r="K21" s="16"/>
      <c r="L21" s="66"/>
    </row>
    <row r="22" spans="2:12" ht="15.75" x14ac:dyDescent="0.25">
      <c r="B22" s="20" t="s">
        <v>21</v>
      </c>
      <c r="C22" s="16">
        <f>D22+E22+F22+G22+H22+I22+J22+K22+L22</f>
        <v>5296138</v>
      </c>
      <c r="D22" s="16">
        <v>0</v>
      </c>
      <c r="E22" s="16">
        <v>510465</v>
      </c>
      <c r="F22" s="16">
        <v>0</v>
      </c>
      <c r="G22" s="16">
        <v>2133954</v>
      </c>
      <c r="H22" s="16">
        <v>2651719</v>
      </c>
      <c r="I22" s="16">
        <v>0</v>
      </c>
      <c r="J22" s="16">
        <v>0</v>
      </c>
      <c r="K22" s="16">
        <v>0</v>
      </c>
      <c r="L22" s="66">
        <v>0</v>
      </c>
    </row>
    <row r="23" spans="2:12" ht="15.75" x14ac:dyDescent="0.25">
      <c r="B23" s="20"/>
      <c r="C23" s="16"/>
      <c r="D23" s="16"/>
      <c r="E23" s="16"/>
      <c r="F23" s="16"/>
      <c r="G23" s="16"/>
      <c r="H23" s="16"/>
      <c r="I23" s="16"/>
      <c r="J23" s="16"/>
      <c r="K23" s="16"/>
      <c r="L23" s="66"/>
    </row>
    <row r="24" spans="2:12" ht="15.75" x14ac:dyDescent="0.25">
      <c r="B24" s="20" t="s">
        <v>22</v>
      </c>
      <c r="C24" s="16">
        <f>D24+E24+F24+G24+H24+I24+J24+K24+L24</f>
        <v>653008</v>
      </c>
      <c r="D24" s="16">
        <v>0</v>
      </c>
      <c r="E24" s="16">
        <v>23844</v>
      </c>
      <c r="F24" s="16">
        <v>0</v>
      </c>
      <c r="G24" s="16">
        <v>193103</v>
      </c>
      <c r="H24" s="16">
        <v>436061</v>
      </c>
      <c r="I24" s="16">
        <v>0</v>
      </c>
      <c r="J24" s="16">
        <v>0</v>
      </c>
      <c r="K24" s="16">
        <v>0</v>
      </c>
      <c r="L24" s="66">
        <v>0</v>
      </c>
    </row>
    <row r="25" spans="2:12" ht="15.75" x14ac:dyDescent="0.25">
      <c r="B25" s="20"/>
      <c r="C25" s="16"/>
      <c r="D25" s="16"/>
      <c r="E25" s="16"/>
      <c r="F25" s="16"/>
      <c r="G25" s="16"/>
      <c r="H25" s="16"/>
      <c r="I25" s="16"/>
      <c r="J25" s="16"/>
      <c r="K25" s="16"/>
      <c r="L25" s="66"/>
    </row>
    <row r="26" spans="2:12" ht="15.75" x14ac:dyDescent="0.25">
      <c r="B26" s="65" t="s">
        <v>3</v>
      </c>
      <c r="C26" s="16">
        <f>C8+C10+C12+C14+C16+C18+C20+C22+C24</f>
        <v>292259566</v>
      </c>
      <c r="D26" s="16">
        <f t="shared" ref="D26:L26" si="0">D8+D10+D12+D14+D16+D18+D20+D22+D24</f>
        <v>1615782</v>
      </c>
      <c r="E26" s="16">
        <f t="shared" si="0"/>
        <v>35250588</v>
      </c>
      <c r="F26" s="16">
        <f t="shared" si="0"/>
        <v>10254</v>
      </c>
      <c r="G26" s="16">
        <f t="shared" si="0"/>
        <v>109046107</v>
      </c>
      <c r="H26" s="16">
        <f t="shared" si="0"/>
        <v>20587703</v>
      </c>
      <c r="I26" s="16">
        <f t="shared" si="0"/>
        <v>7621138</v>
      </c>
      <c r="J26" s="16">
        <f t="shared" si="0"/>
        <v>96006254</v>
      </c>
      <c r="K26" s="16">
        <f t="shared" si="0"/>
        <v>22018966</v>
      </c>
      <c r="L26" s="66">
        <f t="shared" si="0"/>
        <v>102774</v>
      </c>
    </row>
    <row r="27" spans="2:12" ht="16.5" thickBot="1" x14ac:dyDescent="0.3">
      <c r="B27" s="25"/>
      <c r="C27" s="26"/>
      <c r="D27" s="27"/>
      <c r="E27" s="27"/>
      <c r="F27" s="27"/>
      <c r="G27" s="27"/>
      <c r="H27" s="27"/>
      <c r="I27" s="27"/>
      <c r="J27" s="27"/>
      <c r="K27" s="27"/>
      <c r="L27" s="67"/>
    </row>
    <row r="28" spans="2:12" ht="16.5" thickTop="1" x14ac:dyDescent="0.25">
      <c r="B28" s="1"/>
      <c r="C28" s="30"/>
      <c r="D28" s="31"/>
      <c r="E28" s="31"/>
      <c r="F28" s="31"/>
      <c r="G28" s="31"/>
      <c r="H28" s="31"/>
      <c r="I28" s="31"/>
      <c r="J28" s="31"/>
      <c r="K28" s="31"/>
    </row>
    <row r="29" spans="2:12" ht="15.75" x14ac:dyDescent="0.25">
      <c r="B29" s="33" t="s">
        <v>23</v>
      </c>
      <c r="C29" s="34"/>
      <c r="D29" s="35"/>
      <c r="E29" s="35"/>
      <c r="F29" s="35"/>
      <c r="G29" s="35"/>
      <c r="H29" s="35"/>
      <c r="I29" s="35"/>
      <c r="J29" s="35"/>
      <c r="K29" s="35"/>
      <c r="L29" s="1"/>
    </row>
    <row r="30" spans="2:12" ht="15.75" x14ac:dyDescent="0.25">
      <c r="B30" s="1"/>
      <c r="C30" s="34"/>
      <c r="D30" s="35"/>
      <c r="E30" s="35"/>
      <c r="F30" s="35"/>
      <c r="G30" s="35"/>
      <c r="H30" s="35"/>
      <c r="I30" s="35"/>
      <c r="J30" s="35"/>
      <c r="K30" s="35"/>
    </row>
    <row r="31" spans="2:12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2" ht="15.75" x14ac:dyDescent="0.25">
      <c r="B32" s="2" t="s">
        <v>0</v>
      </c>
      <c r="C32" s="3"/>
      <c r="D32" s="3"/>
      <c r="E32" s="7"/>
      <c r="F32" s="3"/>
      <c r="G32" s="7"/>
      <c r="H32" s="7"/>
      <c r="I32" s="7"/>
      <c r="J32" s="7"/>
      <c r="K32" s="7"/>
    </row>
    <row r="33" spans="2:12" ht="15.75" x14ac:dyDescent="0.25">
      <c r="B33" s="1"/>
      <c r="C33" s="36"/>
      <c r="E33" s="38"/>
      <c r="F33" s="38"/>
      <c r="G33" s="39" t="s">
        <v>1</v>
      </c>
      <c r="H33" s="38"/>
      <c r="I33" s="38"/>
      <c r="J33" s="38"/>
      <c r="K33" s="38"/>
    </row>
    <row r="34" spans="2:12" ht="15.75" x14ac:dyDescent="0.25">
      <c r="B34" s="6" t="s">
        <v>58</v>
      </c>
      <c r="C34" s="3"/>
      <c r="D34" s="3"/>
      <c r="E34" s="7"/>
      <c r="F34" s="3"/>
      <c r="G34" s="7"/>
      <c r="H34" s="7"/>
      <c r="I34" s="7"/>
      <c r="J34" s="7"/>
      <c r="K34" s="7"/>
    </row>
    <row r="35" spans="2:12" ht="16.5" thickBot="1" x14ac:dyDescent="0.3">
      <c r="B35" s="1"/>
      <c r="C35" s="36"/>
      <c r="D35" s="38"/>
      <c r="E35" s="38"/>
      <c r="F35" s="38"/>
      <c r="G35" s="38"/>
      <c r="H35" s="38"/>
      <c r="I35" s="38"/>
      <c r="J35" s="38"/>
      <c r="K35" s="1"/>
      <c r="L35" s="76" t="s">
        <v>54</v>
      </c>
    </row>
    <row r="36" spans="2:12" ht="16.5" thickTop="1" x14ac:dyDescent="0.25">
      <c r="B36" s="41" t="s">
        <v>24</v>
      </c>
      <c r="C36" s="42" t="s">
        <v>3</v>
      </c>
      <c r="D36" s="62" t="s">
        <v>43</v>
      </c>
      <c r="E36" s="62" t="s">
        <v>40</v>
      </c>
      <c r="F36" s="43" t="s">
        <v>6</v>
      </c>
      <c r="G36" s="43" t="s">
        <v>7</v>
      </c>
      <c r="H36" s="43" t="s">
        <v>8</v>
      </c>
      <c r="I36" s="43" t="s">
        <v>25</v>
      </c>
      <c r="J36" s="44" t="s">
        <v>10</v>
      </c>
      <c r="K36" s="12" t="s">
        <v>11</v>
      </c>
      <c r="L36" s="63" t="s">
        <v>56</v>
      </c>
    </row>
    <row r="37" spans="2:12" ht="15.75" x14ac:dyDescent="0.25">
      <c r="B37" s="45"/>
      <c r="C37" s="46"/>
      <c r="D37" s="46"/>
      <c r="E37" s="46"/>
      <c r="F37" s="46"/>
      <c r="G37" s="46"/>
      <c r="H37" s="46"/>
      <c r="I37" s="46"/>
      <c r="J37" s="78"/>
      <c r="K37" s="46"/>
      <c r="L37" s="79"/>
    </row>
    <row r="38" spans="2:12" ht="15.75" x14ac:dyDescent="0.25">
      <c r="B38" s="45" t="s">
        <v>26</v>
      </c>
      <c r="C38" s="49">
        <f>SUM(D38:L38)</f>
        <v>25290252</v>
      </c>
      <c r="D38" s="49">
        <v>133456</v>
      </c>
      <c r="E38" s="49">
        <v>2811234</v>
      </c>
      <c r="F38" s="49">
        <v>0</v>
      </c>
      <c r="G38" s="49">
        <v>8136529</v>
      </c>
      <c r="H38" s="49">
        <v>1901739</v>
      </c>
      <c r="I38" s="80">
        <v>846035</v>
      </c>
      <c r="J38" s="80">
        <v>8977707</v>
      </c>
      <c r="K38" s="49">
        <v>2481744</v>
      </c>
      <c r="L38" s="81">
        <v>1808</v>
      </c>
    </row>
    <row r="39" spans="2:12" ht="15.75" x14ac:dyDescent="0.25">
      <c r="B39" s="45" t="s">
        <v>27</v>
      </c>
      <c r="C39" s="49">
        <f>SUM(D39:L39)</f>
        <v>20776189</v>
      </c>
      <c r="D39" s="49">
        <v>104077</v>
      </c>
      <c r="E39" s="49">
        <v>2370785</v>
      </c>
      <c r="F39" s="49">
        <v>0</v>
      </c>
      <c r="G39" s="49">
        <v>7497341</v>
      </c>
      <c r="H39" s="49">
        <v>1433337</v>
      </c>
      <c r="I39" s="80">
        <v>548116</v>
      </c>
      <c r="J39" s="80">
        <v>7017671</v>
      </c>
      <c r="K39" s="49">
        <v>1802023</v>
      </c>
      <c r="L39" s="81">
        <v>2839</v>
      </c>
    </row>
    <row r="40" spans="2:12" ht="15.75" x14ac:dyDescent="0.25">
      <c r="B40" s="45" t="s">
        <v>28</v>
      </c>
      <c r="C40" s="49">
        <f>SUM(D40:L40)</f>
        <v>21377347</v>
      </c>
      <c r="D40" s="49">
        <v>143709</v>
      </c>
      <c r="E40" s="49">
        <v>2449793</v>
      </c>
      <c r="F40" s="49">
        <v>3184</v>
      </c>
      <c r="G40" s="49">
        <v>7767729</v>
      </c>
      <c r="H40" s="49">
        <v>1588635</v>
      </c>
      <c r="I40" s="80">
        <v>880393</v>
      </c>
      <c r="J40" s="80">
        <v>6738856</v>
      </c>
      <c r="K40" s="49">
        <v>1805048</v>
      </c>
      <c r="L40" s="81"/>
    </row>
    <row r="41" spans="2:12" ht="15.75" x14ac:dyDescent="0.25">
      <c r="B41" s="45"/>
      <c r="C41" s="49">
        <f t="shared" ref="C41:H41" si="1">C38+C39+C40</f>
        <v>67443788</v>
      </c>
      <c r="D41" s="49">
        <f t="shared" si="1"/>
        <v>381242</v>
      </c>
      <c r="E41" s="49">
        <f t="shared" si="1"/>
        <v>7631812</v>
      </c>
      <c r="F41" s="49">
        <f t="shared" si="1"/>
        <v>3184</v>
      </c>
      <c r="G41" s="49">
        <f t="shared" si="1"/>
        <v>23401599</v>
      </c>
      <c r="H41" s="49">
        <f t="shared" si="1"/>
        <v>4923711</v>
      </c>
      <c r="I41" s="80">
        <f>SUM(I38:I40)</f>
        <v>2274544</v>
      </c>
      <c r="J41" s="80">
        <f>SUM(J38:J40)</f>
        <v>22734234</v>
      </c>
      <c r="K41" s="49">
        <f>K38+K39+K40</f>
        <v>6088815</v>
      </c>
      <c r="L41" s="81">
        <f>L38+L39+L40</f>
        <v>4647</v>
      </c>
    </row>
    <row r="42" spans="2:12" ht="15.75" x14ac:dyDescent="0.25">
      <c r="B42" s="45" t="s">
        <v>29</v>
      </c>
      <c r="C42" s="49">
        <f>SUM(D42:L42)</f>
        <v>23498684</v>
      </c>
      <c r="D42" s="49">
        <v>127116</v>
      </c>
      <c r="E42" s="49">
        <v>2857148</v>
      </c>
      <c r="F42" s="49">
        <v>1500</v>
      </c>
      <c r="G42" s="49">
        <v>8988357</v>
      </c>
      <c r="H42" s="49">
        <v>1613096</v>
      </c>
      <c r="I42" s="80">
        <v>659312</v>
      </c>
      <c r="J42" s="80">
        <v>7358565</v>
      </c>
      <c r="K42" s="49">
        <v>1887332</v>
      </c>
      <c r="L42" s="81">
        <v>6258</v>
      </c>
    </row>
    <row r="43" spans="2:12" ht="15.75" x14ac:dyDescent="0.25">
      <c r="B43" s="45" t="s">
        <v>30</v>
      </c>
      <c r="C43" s="49">
        <f>SUM(D43:L43)</f>
        <v>25850981</v>
      </c>
      <c r="D43" s="49">
        <v>122431</v>
      </c>
      <c r="E43" s="49">
        <v>3308588</v>
      </c>
      <c r="F43" s="49">
        <v>0</v>
      </c>
      <c r="G43" s="49">
        <v>10877978</v>
      </c>
      <c r="H43" s="49">
        <v>1701683</v>
      </c>
      <c r="I43" s="80">
        <v>747146</v>
      </c>
      <c r="J43" s="80">
        <v>7358565</v>
      </c>
      <c r="K43" s="49">
        <v>1707834</v>
      </c>
      <c r="L43" s="81">
        <v>26756</v>
      </c>
    </row>
    <row r="44" spans="2:12" ht="15.75" x14ac:dyDescent="0.25">
      <c r="B44" s="45" t="s">
        <v>31</v>
      </c>
      <c r="C44" s="49">
        <f>SUM(D44:L44)</f>
        <v>23751430</v>
      </c>
      <c r="D44" s="49">
        <v>124013</v>
      </c>
      <c r="E44" s="49">
        <v>2778337</v>
      </c>
      <c r="F44" s="49">
        <v>2989</v>
      </c>
      <c r="G44" s="49">
        <v>9939568</v>
      </c>
      <c r="H44" s="49">
        <v>1559455</v>
      </c>
      <c r="I44" s="80">
        <v>496551</v>
      </c>
      <c r="J44" s="80">
        <v>7019690</v>
      </c>
      <c r="K44" s="49">
        <v>1813077</v>
      </c>
      <c r="L44" s="81">
        <v>17750</v>
      </c>
    </row>
    <row r="45" spans="2:12" ht="15.75" x14ac:dyDescent="0.25">
      <c r="B45" s="45"/>
      <c r="C45" s="49">
        <f t="shared" ref="C45:H45" si="2">C42+C43+C44</f>
        <v>73101095</v>
      </c>
      <c r="D45" s="49">
        <f t="shared" si="2"/>
        <v>373560</v>
      </c>
      <c r="E45" s="49">
        <f t="shared" si="2"/>
        <v>8944073</v>
      </c>
      <c r="F45" s="49">
        <f t="shared" si="2"/>
        <v>4489</v>
      </c>
      <c r="G45" s="49">
        <f t="shared" si="2"/>
        <v>29805903</v>
      </c>
      <c r="H45" s="49">
        <f t="shared" si="2"/>
        <v>4874234</v>
      </c>
      <c r="I45" s="80">
        <f>SUM(I42:I44)</f>
        <v>1903009</v>
      </c>
      <c r="J45" s="80">
        <f>SUM(J42:J44)</f>
        <v>21736820</v>
      </c>
      <c r="K45" s="49">
        <f>K42+K43+K44</f>
        <v>5408243</v>
      </c>
      <c r="L45" s="81">
        <f>L42+L43+L44</f>
        <v>50764</v>
      </c>
    </row>
    <row r="46" spans="2:12" ht="15.75" x14ac:dyDescent="0.25">
      <c r="B46" s="45" t="s">
        <v>32</v>
      </c>
      <c r="C46" s="49">
        <f>SUM(D46:L46)</f>
        <v>26860640</v>
      </c>
      <c r="D46" s="49">
        <v>154526</v>
      </c>
      <c r="E46" s="49">
        <v>3510703</v>
      </c>
      <c r="F46" s="49">
        <v>595</v>
      </c>
      <c r="G46" s="49">
        <v>10459862</v>
      </c>
      <c r="H46" s="49">
        <v>2034903</v>
      </c>
      <c r="I46" s="80">
        <v>489160</v>
      </c>
      <c r="J46" s="80">
        <v>8503009</v>
      </c>
      <c r="K46" s="49">
        <v>1700229</v>
      </c>
      <c r="L46" s="81">
        <v>7653</v>
      </c>
    </row>
    <row r="47" spans="2:12" ht="15.75" x14ac:dyDescent="0.25">
      <c r="B47" s="45" t="s">
        <v>41</v>
      </c>
      <c r="C47" s="49">
        <f>SUM(D47:L47)</f>
        <v>28517464</v>
      </c>
      <c r="D47" s="49">
        <v>221108</v>
      </c>
      <c r="E47" s="49">
        <v>3823723</v>
      </c>
      <c r="F47" s="49">
        <v>791</v>
      </c>
      <c r="G47" s="49">
        <v>10562229</v>
      </c>
      <c r="H47" s="49">
        <v>1861750</v>
      </c>
      <c r="I47" s="80">
        <v>723635</v>
      </c>
      <c r="J47" s="80">
        <v>9512009</v>
      </c>
      <c r="K47" s="49">
        <v>1812219</v>
      </c>
      <c r="L47" s="81">
        <v>0</v>
      </c>
    </row>
    <row r="48" spans="2:12" ht="15.75" x14ac:dyDescent="0.25">
      <c r="B48" s="45" t="s">
        <v>34</v>
      </c>
      <c r="C48" s="49">
        <f>SUM(D48:L48)</f>
        <v>26014713</v>
      </c>
      <c r="D48" s="49">
        <v>123264</v>
      </c>
      <c r="E48" s="49">
        <v>3085677</v>
      </c>
      <c r="F48" s="49">
        <v>0</v>
      </c>
      <c r="G48" s="49">
        <v>9135140</v>
      </c>
      <c r="H48" s="49">
        <v>1818864</v>
      </c>
      <c r="I48" s="80">
        <v>794034</v>
      </c>
      <c r="J48" s="80">
        <v>9322893</v>
      </c>
      <c r="K48" s="49">
        <v>1709252</v>
      </c>
      <c r="L48" s="81">
        <v>25589</v>
      </c>
    </row>
    <row r="49" spans="2:12" ht="15.75" x14ac:dyDescent="0.25">
      <c r="B49" s="45"/>
      <c r="C49" s="49">
        <f t="shared" ref="C49:K49" si="3">C46+C47+C48</f>
        <v>81392817</v>
      </c>
      <c r="D49" s="49">
        <f t="shared" si="3"/>
        <v>498898</v>
      </c>
      <c r="E49" s="49">
        <f t="shared" si="3"/>
        <v>10420103</v>
      </c>
      <c r="F49" s="49">
        <f t="shared" si="3"/>
        <v>1386</v>
      </c>
      <c r="G49" s="49">
        <f t="shared" si="3"/>
        <v>30157231</v>
      </c>
      <c r="H49" s="49">
        <f t="shared" si="3"/>
        <v>5715517</v>
      </c>
      <c r="I49" s="80">
        <f>SUM(I46:I48)</f>
        <v>2006829</v>
      </c>
      <c r="J49" s="80">
        <f>SUM(J46:J48)</f>
        <v>27337911</v>
      </c>
      <c r="K49" s="49">
        <f t="shared" si="3"/>
        <v>5221700</v>
      </c>
      <c r="L49" s="81">
        <f>L46+L47+L48</f>
        <v>33242</v>
      </c>
    </row>
    <row r="50" spans="2:12" ht="15.75" x14ac:dyDescent="0.25">
      <c r="B50" s="45" t="s">
        <v>35</v>
      </c>
      <c r="C50" s="49">
        <f>SUM(D50:L50)</f>
        <v>24785089</v>
      </c>
      <c r="D50" s="49">
        <v>154041</v>
      </c>
      <c r="E50" s="49">
        <v>2925757</v>
      </c>
      <c r="F50" s="49">
        <v>0</v>
      </c>
      <c r="G50" s="49">
        <v>9426869</v>
      </c>
      <c r="H50" s="49">
        <v>1664635</v>
      </c>
      <c r="I50" s="80">
        <v>504190</v>
      </c>
      <c r="J50" s="80">
        <v>8298606</v>
      </c>
      <c r="K50" s="49">
        <v>1804857</v>
      </c>
      <c r="L50" s="81">
        <v>6134</v>
      </c>
    </row>
    <row r="51" spans="2:12" ht="15.75" x14ac:dyDescent="0.25">
      <c r="B51" s="45" t="s">
        <v>36</v>
      </c>
      <c r="C51" s="49">
        <f>SUM(D51:L51)</f>
        <v>23003919</v>
      </c>
      <c r="D51" s="49">
        <v>120671</v>
      </c>
      <c r="E51" s="49">
        <v>2574949</v>
      </c>
      <c r="F51" s="49">
        <v>1195</v>
      </c>
      <c r="G51" s="49">
        <v>8011386</v>
      </c>
      <c r="H51" s="49">
        <v>1677945</v>
      </c>
      <c r="I51" s="80">
        <v>512824</v>
      </c>
      <c r="J51" s="80">
        <v>8318744</v>
      </c>
      <c r="K51" s="49">
        <v>1780915</v>
      </c>
      <c r="L51" s="81">
        <v>5290</v>
      </c>
    </row>
    <row r="52" spans="2:12" ht="15.75" x14ac:dyDescent="0.25">
      <c r="B52" s="45" t="s">
        <v>37</v>
      </c>
      <c r="C52" s="49">
        <f>SUM(D52:L52)</f>
        <v>22532858</v>
      </c>
      <c r="D52" s="49">
        <v>87370</v>
      </c>
      <c r="E52" s="49">
        <v>2753894</v>
      </c>
      <c r="F52" s="49">
        <v>0</v>
      </c>
      <c r="G52" s="49">
        <v>8243119</v>
      </c>
      <c r="H52" s="49">
        <v>1731661</v>
      </c>
      <c r="I52" s="80">
        <v>419742</v>
      </c>
      <c r="J52" s="80">
        <v>7579939</v>
      </c>
      <c r="K52" s="49">
        <v>1714436</v>
      </c>
      <c r="L52" s="81">
        <v>2697</v>
      </c>
    </row>
    <row r="53" spans="2:12" ht="15.75" x14ac:dyDescent="0.25">
      <c r="B53" s="45"/>
      <c r="C53" s="49">
        <f t="shared" ref="C53:K53" si="4">C50+C51+C52</f>
        <v>70321866</v>
      </c>
      <c r="D53" s="49">
        <f t="shared" si="4"/>
        <v>362082</v>
      </c>
      <c r="E53" s="49">
        <f t="shared" si="4"/>
        <v>8254600</v>
      </c>
      <c r="F53" s="49">
        <f t="shared" si="4"/>
        <v>1195</v>
      </c>
      <c r="G53" s="49">
        <f t="shared" si="4"/>
        <v>25681374</v>
      </c>
      <c r="H53" s="49">
        <f t="shared" si="4"/>
        <v>5074241</v>
      </c>
      <c r="I53" s="80">
        <f>SUM(I50:I52)</f>
        <v>1436756</v>
      </c>
      <c r="J53" s="82">
        <f>SUM(J50:J52)</f>
        <v>24197289</v>
      </c>
      <c r="K53" s="49">
        <f t="shared" si="4"/>
        <v>5300208</v>
      </c>
      <c r="L53" s="81">
        <f>L50+L51+L52</f>
        <v>14121</v>
      </c>
    </row>
    <row r="54" spans="2:12" ht="15" x14ac:dyDescent="0.25">
      <c r="B54" s="70" t="s">
        <v>38</v>
      </c>
      <c r="C54" s="49">
        <f t="shared" ref="C54:K54" si="5">C38+C39+C40+C42+C43+C44+C46+C47+C48+C50+C51+C52</f>
        <v>292259566</v>
      </c>
      <c r="D54" s="49">
        <f t="shared" si="5"/>
        <v>1615782</v>
      </c>
      <c r="E54" s="49">
        <f t="shared" si="5"/>
        <v>35250588</v>
      </c>
      <c r="F54" s="49">
        <f t="shared" si="5"/>
        <v>10254</v>
      </c>
      <c r="G54" s="49">
        <f t="shared" si="5"/>
        <v>109046107</v>
      </c>
      <c r="H54" s="49">
        <f t="shared" si="5"/>
        <v>20587703</v>
      </c>
      <c r="I54" s="49">
        <f t="shared" si="5"/>
        <v>7621138</v>
      </c>
      <c r="J54" s="83">
        <f t="shared" si="5"/>
        <v>96006254</v>
      </c>
      <c r="K54" s="49">
        <f t="shared" si="5"/>
        <v>22018966</v>
      </c>
      <c r="L54" s="81">
        <f>L38+L39+L40+L42+L43+L44+L46+L47+L48+L50+L51+L52</f>
        <v>102774</v>
      </c>
    </row>
    <row r="55" spans="2:12" ht="16.5" thickBot="1" x14ac:dyDescent="0.3">
      <c r="B55" s="58"/>
      <c r="C55" s="26"/>
      <c r="D55" s="27"/>
      <c r="E55" s="27"/>
      <c r="F55" s="27"/>
      <c r="G55" s="27"/>
      <c r="H55" s="27"/>
      <c r="I55" s="27"/>
      <c r="J55" s="28"/>
      <c r="K55" s="27"/>
      <c r="L55" s="67"/>
    </row>
    <row r="56" spans="2:12" ht="16.5" thickTop="1" x14ac:dyDescent="0.25">
      <c r="B56" s="1"/>
      <c r="C56" s="59"/>
      <c r="D56" s="60"/>
      <c r="E56" s="60"/>
      <c r="F56" s="60"/>
      <c r="G56" s="60"/>
      <c r="H56" s="60"/>
      <c r="I56" s="60"/>
      <c r="J56" s="60"/>
      <c r="K56" s="60"/>
    </row>
    <row r="57" spans="2:12" ht="15.75" x14ac:dyDescent="0.25">
      <c r="B57" s="33" t="s">
        <v>23</v>
      </c>
      <c r="C57" s="59"/>
      <c r="D57" s="60"/>
      <c r="E57" s="60"/>
      <c r="F57" s="60"/>
      <c r="G57" s="60"/>
      <c r="H57" s="60"/>
      <c r="I57" s="60"/>
      <c r="J57" s="60"/>
      <c r="K57" s="60"/>
    </row>
  </sheetData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syncVertical="1" syncRef="D1" transitionEvaluation="1"/>
  <dimension ref="A1:P61"/>
  <sheetViews>
    <sheetView showGridLines="0" topLeftCell="D1" workbookViewId="0">
      <selection activeCell="G25" sqref="G25:P25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15.28515625" style="1" customWidth="1"/>
    <col min="11" max="11" width="14.5703125" style="1" customWidth="1"/>
    <col min="12" max="12" width="15" style="1" customWidth="1"/>
    <col min="13" max="13" width="14.5703125" style="1" customWidth="1"/>
    <col min="14" max="15" width="14.28515625" style="1" customWidth="1"/>
    <col min="16" max="16" width="14.140625" style="1" customWidth="1"/>
    <col min="17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15.28515625" style="1" customWidth="1"/>
    <col min="267" max="267" width="14.5703125" style="1" customWidth="1"/>
    <col min="268" max="268" width="15" style="1" customWidth="1"/>
    <col min="269" max="269" width="14.5703125" style="1" customWidth="1"/>
    <col min="270" max="271" width="14.28515625" style="1" customWidth="1"/>
    <col min="272" max="272" width="14.140625" style="1" customWidth="1"/>
    <col min="273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15.28515625" style="1" customWidth="1"/>
    <col min="523" max="523" width="14.5703125" style="1" customWidth="1"/>
    <col min="524" max="524" width="15" style="1" customWidth="1"/>
    <col min="525" max="525" width="14.5703125" style="1" customWidth="1"/>
    <col min="526" max="527" width="14.28515625" style="1" customWidth="1"/>
    <col min="528" max="528" width="14.140625" style="1" customWidth="1"/>
    <col min="529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15.28515625" style="1" customWidth="1"/>
    <col min="779" max="779" width="14.5703125" style="1" customWidth="1"/>
    <col min="780" max="780" width="15" style="1" customWidth="1"/>
    <col min="781" max="781" width="14.5703125" style="1" customWidth="1"/>
    <col min="782" max="783" width="14.28515625" style="1" customWidth="1"/>
    <col min="784" max="784" width="14.140625" style="1" customWidth="1"/>
    <col min="785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15.28515625" style="1" customWidth="1"/>
    <col min="1035" max="1035" width="14.5703125" style="1" customWidth="1"/>
    <col min="1036" max="1036" width="15" style="1" customWidth="1"/>
    <col min="1037" max="1037" width="14.5703125" style="1" customWidth="1"/>
    <col min="1038" max="1039" width="14.28515625" style="1" customWidth="1"/>
    <col min="1040" max="1040" width="14.140625" style="1" customWidth="1"/>
    <col min="1041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15.28515625" style="1" customWidth="1"/>
    <col min="1291" max="1291" width="14.5703125" style="1" customWidth="1"/>
    <col min="1292" max="1292" width="15" style="1" customWidth="1"/>
    <col min="1293" max="1293" width="14.5703125" style="1" customWidth="1"/>
    <col min="1294" max="1295" width="14.28515625" style="1" customWidth="1"/>
    <col min="1296" max="1296" width="14.140625" style="1" customWidth="1"/>
    <col min="1297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15.28515625" style="1" customWidth="1"/>
    <col min="1547" max="1547" width="14.5703125" style="1" customWidth="1"/>
    <col min="1548" max="1548" width="15" style="1" customWidth="1"/>
    <col min="1549" max="1549" width="14.5703125" style="1" customWidth="1"/>
    <col min="1550" max="1551" width="14.28515625" style="1" customWidth="1"/>
    <col min="1552" max="1552" width="14.140625" style="1" customWidth="1"/>
    <col min="1553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15.28515625" style="1" customWidth="1"/>
    <col min="1803" max="1803" width="14.5703125" style="1" customWidth="1"/>
    <col min="1804" max="1804" width="15" style="1" customWidth="1"/>
    <col min="1805" max="1805" width="14.5703125" style="1" customWidth="1"/>
    <col min="1806" max="1807" width="14.28515625" style="1" customWidth="1"/>
    <col min="1808" max="1808" width="14.140625" style="1" customWidth="1"/>
    <col min="1809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15.28515625" style="1" customWidth="1"/>
    <col min="2059" max="2059" width="14.5703125" style="1" customWidth="1"/>
    <col min="2060" max="2060" width="15" style="1" customWidth="1"/>
    <col min="2061" max="2061" width="14.5703125" style="1" customWidth="1"/>
    <col min="2062" max="2063" width="14.28515625" style="1" customWidth="1"/>
    <col min="2064" max="2064" width="14.140625" style="1" customWidth="1"/>
    <col min="2065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15.28515625" style="1" customWidth="1"/>
    <col min="2315" max="2315" width="14.5703125" style="1" customWidth="1"/>
    <col min="2316" max="2316" width="15" style="1" customWidth="1"/>
    <col min="2317" max="2317" width="14.5703125" style="1" customWidth="1"/>
    <col min="2318" max="2319" width="14.28515625" style="1" customWidth="1"/>
    <col min="2320" max="2320" width="14.140625" style="1" customWidth="1"/>
    <col min="2321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15.28515625" style="1" customWidth="1"/>
    <col min="2571" max="2571" width="14.5703125" style="1" customWidth="1"/>
    <col min="2572" max="2572" width="15" style="1" customWidth="1"/>
    <col min="2573" max="2573" width="14.5703125" style="1" customWidth="1"/>
    <col min="2574" max="2575" width="14.28515625" style="1" customWidth="1"/>
    <col min="2576" max="2576" width="14.140625" style="1" customWidth="1"/>
    <col min="2577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15.28515625" style="1" customWidth="1"/>
    <col min="2827" max="2827" width="14.5703125" style="1" customWidth="1"/>
    <col min="2828" max="2828" width="15" style="1" customWidth="1"/>
    <col min="2829" max="2829" width="14.5703125" style="1" customWidth="1"/>
    <col min="2830" max="2831" width="14.28515625" style="1" customWidth="1"/>
    <col min="2832" max="2832" width="14.140625" style="1" customWidth="1"/>
    <col min="2833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15.28515625" style="1" customWidth="1"/>
    <col min="3083" max="3083" width="14.5703125" style="1" customWidth="1"/>
    <col min="3084" max="3084" width="15" style="1" customWidth="1"/>
    <col min="3085" max="3085" width="14.5703125" style="1" customWidth="1"/>
    <col min="3086" max="3087" width="14.28515625" style="1" customWidth="1"/>
    <col min="3088" max="3088" width="14.140625" style="1" customWidth="1"/>
    <col min="3089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15.28515625" style="1" customWidth="1"/>
    <col min="3339" max="3339" width="14.5703125" style="1" customWidth="1"/>
    <col min="3340" max="3340" width="15" style="1" customWidth="1"/>
    <col min="3341" max="3341" width="14.5703125" style="1" customWidth="1"/>
    <col min="3342" max="3343" width="14.28515625" style="1" customWidth="1"/>
    <col min="3344" max="3344" width="14.140625" style="1" customWidth="1"/>
    <col min="3345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15.28515625" style="1" customWidth="1"/>
    <col min="3595" max="3595" width="14.5703125" style="1" customWidth="1"/>
    <col min="3596" max="3596" width="15" style="1" customWidth="1"/>
    <col min="3597" max="3597" width="14.5703125" style="1" customWidth="1"/>
    <col min="3598" max="3599" width="14.28515625" style="1" customWidth="1"/>
    <col min="3600" max="3600" width="14.140625" style="1" customWidth="1"/>
    <col min="3601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15.28515625" style="1" customWidth="1"/>
    <col min="3851" max="3851" width="14.5703125" style="1" customWidth="1"/>
    <col min="3852" max="3852" width="15" style="1" customWidth="1"/>
    <col min="3853" max="3853" width="14.5703125" style="1" customWidth="1"/>
    <col min="3854" max="3855" width="14.28515625" style="1" customWidth="1"/>
    <col min="3856" max="3856" width="14.140625" style="1" customWidth="1"/>
    <col min="3857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15.28515625" style="1" customWidth="1"/>
    <col min="4107" max="4107" width="14.5703125" style="1" customWidth="1"/>
    <col min="4108" max="4108" width="15" style="1" customWidth="1"/>
    <col min="4109" max="4109" width="14.5703125" style="1" customWidth="1"/>
    <col min="4110" max="4111" width="14.28515625" style="1" customWidth="1"/>
    <col min="4112" max="4112" width="14.140625" style="1" customWidth="1"/>
    <col min="4113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15.28515625" style="1" customWidth="1"/>
    <col min="4363" max="4363" width="14.5703125" style="1" customWidth="1"/>
    <col min="4364" max="4364" width="15" style="1" customWidth="1"/>
    <col min="4365" max="4365" width="14.5703125" style="1" customWidth="1"/>
    <col min="4366" max="4367" width="14.28515625" style="1" customWidth="1"/>
    <col min="4368" max="4368" width="14.140625" style="1" customWidth="1"/>
    <col min="4369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15.28515625" style="1" customWidth="1"/>
    <col min="4619" max="4619" width="14.5703125" style="1" customWidth="1"/>
    <col min="4620" max="4620" width="15" style="1" customWidth="1"/>
    <col min="4621" max="4621" width="14.5703125" style="1" customWidth="1"/>
    <col min="4622" max="4623" width="14.28515625" style="1" customWidth="1"/>
    <col min="4624" max="4624" width="14.140625" style="1" customWidth="1"/>
    <col min="4625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15.28515625" style="1" customWidth="1"/>
    <col min="4875" max="4875" width="14.5703125" style="1" customWidth="1"/>
    <col min="4876" max="4876" width="15" style="1" customWidth="1"/>
    <col min="4877" max="4877" width="14.5703125" style="1" customWidth="1"/>
    <col min="4878" max="4879" width="14.28515625" style="1" customWidth="1"/>
    <col min="4880" max="4880" width="14.140625" style="1" customWidth="1"/>
    <col min="4881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15.28515625" style="1" customWidth="1"/>
    <col min="5131" max="5131" width="14.5703125" style="1" customWidth="1"/>
    <col min="5132" max="5132" width="15" style="1" customWidth="1"/>
    <col min="5133" max="5133" width="14.5703125" style="1" customWidth="1"/>
    <col min="5134" max="5135" width="14.28515625" style="1" customWidth="1"/>
    <col min="5136" max="5136" width="14.140625" style="1" customWidth="1"/>
    <col min="5137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15.28515625" style="1" customWidth="1"/>
    <col min="5387" max="5387" width="14.5703125" style="1" customWidth="1"/>
    <col min="5388" max="5388" width="15" style="1" customWidth="1"/>
    <col min="5389" max="5389" width="14.5703125" style="1" customWidth="1"/>
    <col min="5390" max="5391" width="14.28515625" style="1" customWidth="1"/>
    <col min="5392" max="5392" width="14.140625" style="1" customWidth="1"/>
    <col min="5393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15.28515625" style="1" customWidth="1"/>
    <col min="5643" max="5643" width="14.5703125" style="1" customWidth="1"/>
    <col min="5644" max="5644" width="15" style="1" customWidth="1"/>
    <col min="5645" max="5645" width="14.5703125" style="1" customWidth="1"/>
    <col min="5646" max="5647" width="14.28515625" style="1" customWidth="1"/>
    <col min="5648" max="5648" width="14.140625" style="1" customWidth="1"/>
    <col min="5649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15.28515625" style="1" customWidth="1"/>
    <col min="5899" max="5899" width="14.5703125" style="1" customWidth="1"/>
    <col min="5900" max="5900" width="15" style="1" customWidth="1"/>
    <col min="5901" max="5901" width="14.5703125" style="1" customWidth="1"/>
    <col min="5902" max="5903" width="14.28515625" style="1" customWidth="1"/>
    <col min="5904" max="5904" width="14.140625" style="1" customWidth="1"/>
    <col min="5905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15.28515625" style="1" customWidth="1"/>
    <col min="6155" max="6155" width="14.5703125" style="1" customWidth="1"/>
    <col min="6156" max="6156" width="15" style="1" customWidth="1"/>
    <col min="6157" max="6157" width="14.5703125" style="1" customWidth="1"/>
    <col min="6158" max="6159" width="14.28515625" style="1" customWidth="1"/>
    <col min="6160" max="6160" width="14.140625" style="1" customWidth="1"/>
    <col min="6161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15.28515625" style="1" customWidth="1"/>
    <col min="6411" max="6411" width="14.5703125" style="1" customWidth="1"/>
    <col min="6412" max="6412" width="15" style="1" customWidth="1"/>
    <col min="6413" max="6413" width="14.5703125" style="1" customWidth="1"/>
    <col min="6414" max="6415" width="14.28515625" style="1" customWidth="1"/>
    <col min="6416" max="6416" width="14.140625" style="1" customWidth="1"/>
    <col min="6417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15.28515625" style="1" customWidth="1"/>
    <col min="6667" max="6667" width="14.5703125" style="1" customWidth="1"/>
    <col min="6668" max="6668" width="15" style="1" customWidth="1"/>
    <col min="6669" max="6669" width="14.5703125" style="1" customWidth="1"/>
    <col min="6670" max="6671" width="14.28515625" style="1" customWidth="1"/>
    <col min="6672" max="6672" width="14.140625" style="1" customWidth="1"/>
    <col min="6673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15.28515625" style="1" customWidth="1"/>
    <col min="6923" max="6923" width="14.5703125" style="1" customWidth="1"/>
    <col min="6924" max="6924" width="15" style="1" customWidth="1"/>
    <col min="6925" max="6925" width="14.5703125" style="1" customWidth="1"/>
    <col min="6926" max="6927" width="14.28515625" style="1" customWidth="1"/>
    <col min="6928" max="6928" width="14.140625" style="1" customWidth="1"/>
    <col min="6929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15.28515625" style="1" customWidth="1"/>
    <col min="7179" max="7179" width="14.5703125" style="1" customWidth="1"/>
    <col min="7180" max="7180" width="15" style="1" customWidth="1"/>
    <col min="7181" max="7181" width="14.5703125" style="1" customWidth="1"/>
    <col min="7182" max="7183" width="14.28515625" style="1" customWidth="1"/>
    <col min="7184" max="7184" width="14.140625" style="1" customWidth="1"/>
    <col min="7185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15.28515625" style="1" customWidth="1"/>
    <col min="7435" max="7435" width="14.5703125" style="1" customWidth="1"/>
    <col min="7436" max="7436" width="15" style="1" customWidth="1"/>
    <col min="7437" max="7437" width="14.5703125" style="1" customWidth="1"/>
    <col min="7438" max="7439" width="14.28515625" style="1" customWidth="1"/>
    <col min="7440" max="7440" width="14.140625" style="1" customWidth="1"/>
    <col min="7441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15.28515625" style="1" customWidth="1"/>
    <col min="7691" max="7691" width="14.5703125" style="1" customWidth="1"/>
    <col min="7692" max="7692" width="15" style="1" customWidth="1"/>
    <col min="7693" max="7693" width="14.5703125" style="1" customWidth="1"/>
    <col min="7694" max="7695" width="14.28515625" style="1" customWidth="1"/>
    <col min="7696" max="7696" width="14.140625" style="1" customWidth="1"/>
    <col min="7697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15.28515625" style="1" customWidth="1"/>
    <col min="7947" max="7947" width="14.5703125" style="1" customWidth="1"/>
    <col min="7948" max="7948" width="15" style="1" customWidth="1"/>
    <col min="7949" max="7949" width="14.5703125" style="1" customWidth="1"/>
    <col min="7950" max="7951" width="14.28515625" style="1" customWidth="1"/>
    <col min="7952" max="7952" width="14.140625" style="1" customWidth="1"/>
    <col min="7953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15.28515625" style="1" customWidth="1"/>
    <col min="8203" max="8203" width="14.5703125" style="1" customWidth="1"/>
    <col min="8204" max="8204" width="15" style="1" customWidth="1"/>
    <col min="8205" max="8205" width="14.5703125" style="1" customWidth="1"/>
    <col min="8206" max="8207" width="14.28515625" style="1" customWidth="1"/>
    <col min="8208" max="8208" width="14.140625" style="1" customWidth="1"/>
    <col min="8209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15.28515625" style="1" customWidth="1"/>
    <col min="8459" max="8459" width="14.5703125" style="1" customWidth="1"/>
    <col min="8460" max="8460" width="15" style="1" customWidth="1"/>
    <col min="8461" max="8461" width="14.5703125" style="1" customWidth="1"/>
    <col min="8462" max="8463" width="14.28515625" style="1" customWidth="1"/>
    <col min="8464" max="8464" width="14.140625" style="1" customWidth="1"/>
    <col min="8465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15.28515625" style="1" customWidth="1"/>
    <col min="8715" max="8715" width="14.5703125" style="1" customWidth="1"/>
    <col min="8716" max="8716" width="15" style="1" customWidth="1"/>
    <col min="8717" max="8717" width="14.5703125" style="1" customWidth="1"/>
    <col min="8718" max="8719" width="14.28515625" style="1" customWidth="1"/>
    <col min="8720" max="8720" width="14.140625" style="1" customWidth="1"/>
    <col min="8721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15.28515625" style="1" customWidth="1"/>
    <col min="8971" max="8971" width="14.5703125" style="1" customWidth="1"/>
    <col min="8972" max="8972" width="15" style="1" customWidth="1"/>
    <col min="8973" max="8973" width="14.5703125" style="1" customWidth="1"/>
    <col min="8974" max="8975" width="14.28515625" style="1" customWidth="1"/>
    <col min="8976" max="8976" width="14.140625" style="1" customWidth="1"/>
    <col min="8977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15.28515625" style="1" customWidth="1"/>
    <col min="9227" max="9227" width="14.5703125" style="1" customWidth="1"/>
    <col min="9228" max="9228" width="15" style="1" customWidth="1"/>
    <col min="9229" max="9229" width="14.5703125" style="1" customWidth="1"/>
    <col min="9230" max="9231" width="14.28515625" style="1" customWidth="1"/>
    <col min="9232" max="9232" width="14.140625" style="1" customWidth="1"/>
    <col min="9233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15.28515625" style="1" customWidth="1"/>
    <col min="9483" max="9483" width="14.5703125" style="1" customWidth="1"/>
    <col min="9484" max="9484" width="15" style="1" customWidth="1"/>
    <col min="9485" max="9485" width="14.5703125" style="1" customWidth="1"/>
    <col min="9486" max="9487" width="14.28515625" style="1" customWidth="1"/>
    <col min="9488" max="9488" width="14.140625" style="1" customWidth="1"/>
    <col min="9489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15.28515625" style="1" customWidth="1"/>
    <col min="9739" max="9739" width="14.5703125" style="1" customWidth="1"/>
    <col min="9740" max="9740" width="15" style="1" customWidth="1"/>
    <col min="9741" max="9741" width="14.5703125" style="1" customWidth="1"/>
    <col min="9742" max="9743" width="14.28515625" style="1" customWidth="1"/>
    <col min="9744" max="9744" width="14.140625" style="1" customWidth="1"/>
    <col min="9745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15.28515625" style="1" customWidth="1"/>
    <col min="9995" max="9995" width="14.5703125" style="1" customWidth="1"/>
    <col min="9996" max="9996" width="15" style="1" customWidth="1"/>
    <col min="9997" max="9997" width="14.5703125" style="1" customWidth="1"/>
    <col min="9998" max="9999" width="14.28515625" style="1" customWidth="1"/>
    <col min="10000" max="10000" width="14.140625" style="1" customWidth="1"/>
    <col min="10001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15.28515625" style="1" customWidth="1"/>
    <col min="10251" max="10251" width="14.5703125" style="1" customWidth="1"/>
    <col min="10252" max="10252" width="15" style="1" customWidth="1"/>
    <col min="10253" max="10253" width="14.5703125" style="1" customWidth="1"/>
    <col min="10254" max="10255" width="14.28515625" style="1" customWidth="1"/>
    <col min="10256" max="10256" width="14.140625" style="1" customWidth="1"/>
    <col min="10257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15.28515625" style="1" customWidth="1"/>
    <col min="10507" max="10507" width="14.5703125" style="1" customWidth="1"/>
    <col min="10508" max="10508" width="15" style="1" customWidth="1"/>
    <col min="10509" max="10509" width="14.5703125" style="1" customWidth="1"/>
    <col min="10510" max="10511" width="14.28515625" style="1" customWidth="1"/>
    <col min="10512" max="10512" width="14.140625" style="1" customWidth="1"/>
    <col min="10513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15.28515625" style="1" customWidth="1"/>
    <col min="10763" max="10763" width="14.5703125" style="1" customWidth="1"/>
    <col min="10764" max="10764" width="15" style="1" customWidth="1"/>
    <col min="10765" max="10765" width="14.5703125" style="1" customWidth="1"/>
    <col min="10766" max="10767" width="14.28515625" style="1" customWidth="1"/>
    <col min="10768" max="10768" width="14.140625" style="1" customWidth="1"/>
    <col min="10769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15.28515625" style="1" customWidth="1"/>
    <col min="11019" max="11019" width="14.5703125" style="1" customWidth="1"/>
    <col min="11020" max="11020" width="15" style="1" customWidth="1"/>
    <col min="11021" max="11021" width="14.5703125" style="1" customWidth="1"/>
    <col min="11022" max="11023" width="14.28515625" style="1" customWidth="1"/>
    <col min="11024" max="11024" width="14.140625" style="1" customWidth="1"/>
    <col min="11025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15.28515625" style="1" customWidth="1"/>
    <col min="11275" max="11275" width="14.5703125" style="1" customWidth="1"/>
    <col min="11276" max="11276" width="15" style="1" customWidth="1"/>
    <col min="11277" max="11277" width="14.5703125" style="1" customWidth="1"/>
    <col min="11278" max="11279" width="14.28515625" style="1" customWidth="1"/>
    <col min="11280" max="11280" width="14.140625" style="1" customWidth="1"/>
    <col min="11281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15.28515625" style="1" customWidth="1"/>
    <col min="11531" max="11531" width="14.5703125" style="1" customWidth="1"/>
    <col min="11532" max="11532" width="15" style="1" customWidth="1"/>
    <col min="11533" max="11533" width="14.5703125" style="1" customWidth="1"/>
    <col min="11534" max="11535" width="14.28515625" style="1" customWidth="1"/>
    <col min="11536" max="11536" width="14.140625" style="1" customWidth="1"/>
    <col min="11537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15.28515625" style="1" customWidth="1"/>
    <col min="11787" max="11787" width="14.5703125" style="1" customWidth="1"/>
    <col min="11788" max="11788" width="15" style="1" customWidth="1"/>
    <col min="11789" max="11789" width="14.5703125" style="1" customWidth="1"/>
    <col min="11790" max="11791" width="14.28515625" style="1" customWidth="1"/>
    <col min="11792" max="11792" width="14.140625" style="1" customWidth="1"/>
    <col min="11793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15.28515625" style="1" customWidth="1"/>
    <col min="12043" max="12043" width="14.5703125" style="1" customWidth="1"/>
    <col min="12044" max="12044" width="15" style="1" customWidth="1"/>
    <col min="12045" max="12045" width="14.5703125" style="1" customWidth="1"/>
    <col min="12046" max="12047" width="14.28515625" style="1" customWidth="1"/>
    <col min="12048" max="12048" width="14.140625" style="1" customWidth="1"/>
    <col min="12049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15.28515625" style="1" customWidth="1"/>
    <col min="12299" max="12299" width="14.5703125" style="1" customWidth="1"/>
    <col min="12300" max="12300" width="15" style="1" customWidth="1"/>
    <col min="12301" max="12301" width="14.5703125" style="1" customWidth="1"/>
    <col min="12302" max="12303" width="14.28515625" style="1" customWidth="1"/>
    <col min="12304" max="12304" width="14.140625" style="1" customWidth="1"/>
    <col min="12305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15.28515625" style="1" customWidth="1"/>
    <col min="12555" max="12555" width="14.5703125" style="1" customWidth="1"/>
    <col min="12556" max="12556" width="15" style="1" customWidth="1"/>
    <col min="12557" max="12557" width="14.5703125" style="1" customWidth="1"/>
    <col min="12558" max="12559" width="14.28515625" style="1" customWidth="1"/>
    <col min="12560" max="12560" width="14.140625" style="1" customWidth="1"/>
    <col min="12561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15.28515625" style="1" customWidth="1"/>
    <col min="12811" max="12811" width="14.5703125" style="1" customWidth="1"/>
    <col min="12812" max="12812" width="15" style="1" customWidth="1"/>
    <col min="12813" max="12813" width="14.5703125" style="1" customWidth="1"/>
    <col min="12814" max="12815" width="14.28515625" style="1" customWidth="1"/>
    <col min="12816" max="12816" width="14.140625" style="1" customWidth="1"/>
    <col min="12817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15.28515625" style="1" customWidth="1"/>
    <col min="13067" max="13067" width="14.5703125" style="1" customWidth="1"/>
    <col min="13068" max="13068" width="15" style="1" customWidth="1"/>
    <col min="13069" max="13069" width="14.5703125" style="1" customWidth="1"/>
    <col min="13070" max="13071" width="14.28515625" style="1" customWidth="1"/>
    <col min="13072" max="13072" width="14.140625" style="1" customWidth="1"/>
    <col min="13073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15.28515625" style="1" customWidth="1"/>
    <col min="13323" max="13323" width="14.5703125" style="1" customWidth="1"/>
    <col min="13324" max="13324" width="15" style="1" customWidth="1"/>
    <col min="13325" max="13325" width="14.5703125" style="1" customWidth="1"/>
    <col min="13326" max="13327" width="14.28515625" style="1" customWidth="1"/>
    <col min="13328" max="13328" width="14.140625" style="1" customWidth="1"/>
    <col min="13329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15.28515625" style="1" customWidth="1"/>
    <col min="13579" max="13579" width="14.5703125" style="1" customWidth="1"/>
    <col min="13580" max="13580" width="15" style="1" customWidth="1"/>
    <col min="13581" max="13581" width="14.5703125" style="1" customWidth="1"/>
    <col min="13582" max="13583" width="14.28515625" style="1" customWidth="1"/>
    <col min="13584" max="13584" width="14.140625" style="1" customWidth="1"/>
    <col min="13585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15.28515625" style="1" customWidth="1"/>
    <col min="13835" max="13835" width="14.5703125" style="1" customWidth="1"/>
    <col min="13836" max="13836" width="15" style="1" customWidth="1"/>
    <col min="13837" max="13837" width="14.5703125" style="1" customWidth="1"/>
    <col min="13838" max="13839" width="14.28515625" style="1" customWidth="1"/>
    <col min="13840" max="13840" width="14.140625" style="1" customWidth="1"/>
    <col min="13841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15.28515625" style="1" customWidth="1"/>
    <col min="14091" max="14091" width="14.5703125" style="1" customWidth="1"/>
    <col min="14092" max="14092" width="15" style="1" customWidth="1"/>
    <col min="14093" max="14093" width="14.5703125" style="1" customWidth="1"/>
    <col min="14094" max="14095" width="14.28515625" style="1" customWidth="1"/>
    <col min="14096" max="14096" width="14.140625" style="1" customWidth="1"/>
    <col min="14097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15.28515625" style="1" customWidth="1"/>
    <col min="14347" max="14347" width="14.5703125" style="1" customWidth="1"/>
    <col min="14348" max="14348" width="15" style="1" customWidth="1"/>
    <col min="14349" max="14349" width="14.5703125" style="1" customWidth="1"/>
    <col min="14350" max="14351" width="14.28515625" style="1" customWidth="1"/>
    <col min="14352" max="14352" width="14.140625" style="1" customWidth="1"/>
    <col min="14353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15.28515625" style="1" customWidth="1"/>
    <col min="14603" max="14603" width="14.5703125" style="1" customWidth="1"/>
    <col min="14604" max="14604" width="15" style="1" customWidth="1"/>
    <col min="14605" max="14605" width="14.5703125" style="1" customWidth="1"/>
    <col min="14606" max="14607" width="14.28515625" style="1" customWidth="1"/>
    <col min="14608" max="14608" width="14.140625" style="1" customWidth="1"/>
    <col min="14609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15.28515625" style="1" customWidth="1"/>
    <col min="14859" max="14859" width="14.5703125" style="1" customWidth="1"/>
    <col min="14860" max="14860" width="15" style="1" customWidth="1"/>
    <col min="14861" max="14861" width="14.5703125" style="1" customWidth="1"/>
    <col min="14862" max="14863" width="14.28515625" style="1" customWidth="1"/>
    <col min="14864" max="14864" width="14.140625" style="1" customWidth="1"/>
    <col min="14865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15.28515625" style="1" customWidth="1"/>
    <col min="15115" max="15115" width="14.5703125" style="1" customWidth="1"/>
    <col min="15116" max="15116" width="15" style="1" customWidth="1"/>
    <col min="15117" max="15117" width="14.5703125" style="1" customWidth="1"/>
    <col min="15118" max="15119" width="14.28515625" style="1" customWidth="1"/>
    <col min="15120" max="15120" width="14.140625" style="1" customWidth="1"/>
    <col min="15121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15.28515625" style="1" customWidth="1"/>
    <col min="15371" max="15371" width="14.5703125" style="1" customWidth="1"/>
    <col min="15372" max="15372" width="15" style="1" customWidth="1"/>
    <col min="15373" max="15373" width="14.5703125" style="1" customWidth="1"/>
    <col min="15374" max="15375" width="14.28515625" style="1" customWidth="1"/>
    <col min="15376" max="15376" width="14.140625" style="1" customWidth="1"/>
    <col min="15377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15.28515625" style="1" customWidth="1"/>
    <col min="15627" max="15627" width="14.5703125" style="1" customWidth="1"/>
    <col min="15628" max="15628" width="15" style="1" customWidth="1"/>
    <col min="15629" max="15629" width="14.5703125" style="1" customWidth="1"/>
    <col min="15630" max="15631" width="14.28515625" style="1" customWidth="1"/>
    <col min="15632" max="15632" width="14.140625" style="1" customWidth="1"/>
    <col min="15633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15.28515625" style="1" customWidth="1"/>
    <col min="15883" max="15883" width="14.5703125" style="1" customWidth="1"/>
    <col min="15884" max="15884" width="15" style="1" customWidth="1"/>
    <col min="15885" max="15885" width="14.5703125" style="1" customWidth="1"/>
    <col min="15886" max="15887" width="14.28515625" style="1" customWidth="1"/>
    <col min="15888" max="15888" width="14.140625" style="1" customWidth="1"/>
    <col min="15889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15.28515625" style="1" customWidth="1"/>
    <col min="16139" max="16139" width="14.5703125" style="1" customWidth="1"/>
    <col min="16140" max="16140" width="15" style="1" customWidth="1"/>
    <col min="16141" max="16141" width="14.5703125" style="1" customWidth="1"/>
    <col min="16142" max="16143" width="14.28515625" style="1" customWidth="1"/>
    <col min="16144" max="16144" width="14.140625" style="1" customWidth="1"/>
    <col min="16145" max="16384" width="21.5703125" style="1"/>
  </cols>
  <sheetData>
    <row r="1" spans="2:16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2"/>
      <c r="P1" s="72"/>
    </row>
    <row r="2" spans="2:16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2"/>
    </row>
    <row r="3" spans="2:16" ht="15.75" x14ac:dyDescent="0.25">
      <c r="E3" s="77">
        <v>2014</v>
      </c>
      <c r="F3" s="3"/>
      <c r="G3" s="3"/>
      <c r="H3" s="7"/>
      <c r="I3" s="3"/>
      <c r="J3" s="7"/>
      <c r="K3" s="7"/>
      <c r="L3" s="7"/>
      <c r="M3" s="7"/>
      <c r="N3" s="7"/>
      <c r="O3" s="7"/>
    </row>
    <row r="4" spans="2:16" ht="16.5" thickBot="1" x14ac:dyDescent="0.3">
      <c r="F4" s="5"/>
      <c r="G4" s="9"/>
      <c r="H4" s="9"/>
      <c r="I4" s="9"/>
      <c r="J4" s="9"/>
      <c r="K4" s="9"/>
      <c r="L4" s="9"/>
      <c r="M4" s="9"/>
      <c r="P4" s="76" t="s">
        <v>54</v>
      </c>
    </row>
    <row r="5" spans="2:16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7</v>
      </c>
      <c r="K5" s="12" t="s">
        <v>8</v>
      </c>
      <c r="L5" s="12" t="s">
        <v>9</v>
      </c>
      <c r="M5" s="12" t="s">
        <v>10</v>
      </c>
      <c r="N5" s="12" t="s">
        <v>11</v>
      </c>
      <c r="O5" s="13" t="s">
        <v>59</v>
      </c>
      <c r="P5" s="63" t="s">
        <v>56</v>
      </c>
    </row>
    <row r="6" spans="2:16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18"/>
      <c r="P6" s="64"/>
    </row>
    <row r="7" spans="2:16" ht="15.75" x14ac:dyDescent="0.25">
      <c r="E7" s="20" t="s">
        <v>13</v>
      </c>
      <c r="F7" s="16">
        <f>G7+H7+I7+J7+K7+L7+M7+N7+O7+P7</f>
        <v>135859167</v>
      </c>
      <c r="G7" s="16">
        <v>957253</v>
      </c>
      <c r="H7" s="16">
        <v>18946759</v>
      </c>
      <c r="I7" s="16">
        <v>6556</v>
      </c>
      <c r="J7" s="16">
        <v>54190497</v>
      </c>
      <c r="K7" s="16">
        <v>398150</v>
      </c>
      <c r="L7" s="16">
        <v>6802536</v>
      </c>
      <c r="M7" s="16">
        <v>40171891</v>
      </c>
      <c r="N7" s="16">
        <v>13971038</v>
      </c>
      <c r="O7" s="16">
        <v>396656</v>
      </c>
      <c r="P7" s="66">
        <v>17831</v>
      </c>
    </row>
    <row r="8" spans="2:16" ht="15.75" x14ac:dyDescent="0.25"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66"/>
    </row>
    <row r="9" spans="2:16" ht="15.75" x14ac:dyDescent="0.25">
      <c r="E9" s="20" t="s">
        <v>14</v>
      </c>
      <c r="F9" s="16">
        <f>G9+H9+I9+J9+K9+L9+M9+N9+O9+P9</f>
        <v>7977340</v>
      </c>
      <c r="G9" s="16">
        <v>38373</v>
      </c>
      <c r="H9" s="16">
        <v>1126245</v>
      </c>
      <c r="I9" s="16">
        <v>4994</v>
      </c>
      <c r="J9" s="16">
        <v>1852621</v>
      </c>
      <c r="K9" s="16">
        <v>4899423</v>
      </c>
      <c r="L9" s="16">
        <v>0</v>
      </c>
      <c r="M9" s="16">
        <v>0</v>
      </c>
      <c r="N9" s="16">
        <v>0</v>
      </c>
      <c r="O9" s="16">
        <v>0</v>
      </c>
      <c r="P9" s="66">
        <v>55684</v>
      </c>
    </row>
    <row r="10" spans="2:16" ht="15.75" x14ac:dyDescent="0.25"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66"/>
    </row>
    <row r="11" spans="2:16" ht="15.75" x14ac:dyDescent="0.25">
      <c r="B11" s="21"/>
      <c r="C11" s="21"/>
      <c r="D11" s="21"/>
      <c r="E11" s="20" t="s">
        <v>15</v>
      </c>
      <c r="F11" s="16">
        <f>G11+H11+I11+J11+K11+L11+M11+N11+O11+P11</f>
        <v>76253500</v>
      </c>
      <c r="G11" s="16">
        <v>490248</v>
      </c>
      <c r="H11" s="16">
        <v>8539542</v>
      </c>
      <c r="I11" s="16">
        <v>0</v>
      </c>
      <c r="J11" s="16">
        <v>24030384</v>
      </c>
      <c r="K11" s="16">
        <v>1102378</v>
      </c>
      <c r="L11" s="16">
        <v>674358</v>
      </c>
      <c r="M11" s="16">
        <v>35484908</v>
      </c>
      <c r="N11" s="16">
        <v>5931682</v>
      </c>
      <c r="O11" s="16">
        <v>0</v>
      </c>
      <c r="P11" s="66">
        <v>0</v>
      </c>
    </row>
    <row r="12" spans="2:16" ht="15.75" x14ac:dyDescent="0.25"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66"/>
    </row>
    <row r="13" spans="2:16" ht="15.75" x14ac:dyDescent="0.25">
      <c r="E13" s="20" t="s">
        <v>17</v>
      </c>
      <c r="F13" s="16">
        <f>G13+H13+I13+J13+K13+L13+M13+N13+O13+P13</f>
        <v>6122784</v>
      </c>
      <c r="G13" s="16">
        <v>0</v>
      </c>
      <c r="H13" s="16">
        <v>661711</v>
      </c>
      <c r="I13" s="16">
        <v>0</v>
      </c>
      <c r="J13" s="16">
        <v>1678835</v>
      </c>
      <c r="K13" s="16">
        <v>3782238</v>
      </c>
      <c r="L13" s="16">
        <v>0</v>
      </c>
      <c r="M13" s="16">
        <v>0</v>
      </c>
      <c r="N13" s="16">
        <v>0</v>
      </c>
      <c r="O13" s="16">
        <v>0</v>
      </c>
      <c r="P13" s="66">
        <v>0</v>
      </c>
    </row>
    <row r="14" spans="2:16" ht="15.75" x14ac:dyDescent="0.25"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66"/>
    </row>
    <row r="15" spans="2:16" ht="15.75" x14ac:dyDescent="0.25">
      <c r="E15" s="20" t="s">
        <v>18</v>
      </c>
      <c r="F15" s="16">
        <f>G15+H15+I15+J15+K15+L15+M15+N15+O15+P15</f>
        <v>12123006</v>
      </c>
      <c r="G15" s="16">
        <v>21731</v>
      </c>
      <c r="H15" s="16">
        <v>1010608</v>
      </c>
      <c r="I15" s="16">
        <v>0</v>
      </c>
      <c r="J15" s="16">
        <v>4801740</v>
      </c>
      <c r="K15" s="16">
        <v>5943775</v>
      </c>
      <c r="L15" s="16">
        <v>345152</v>
      </c>
      <c r="M15" s="16">
        <v>0</v>
      </c>
      <c r="N15" s="16">
        <v>0</v>
      </c>
      <c r="O15" s="16">
        <v>0</v>
      </c>
      <c r="P15" s="66">
        <v>0</v>
      </c>
    </row>
    <row r="16" spans="2:16" ht="15.75" x14ac:dyDescent="0.25"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66"/>
    </row>
    <row r="17" spans="5:16" ht="15.75" x14ac:dyDescent="0.25">
      <c r="E17" s="20" t="s">
        <v>19</v>
      </c>
      <c r="F17" s="16">
        <f>G17+H17+I17+J17+K17+L17+M17+N17+O17+P17</f>
        <v>23453006</v>
      </c>
      <c r="G17" s="16">
        <v>78729</v>
      </c>
      <c r="H17" s="16">
        <v>2459004</v>
      </c>
      <c r="I17" s="16">
        <v>0</v>
      </c>
      <c r="J17" s="16">
        <v>8664723</v>
      </c>
      <c r="K17" s="16">
        <v>279497</v>
      </c>
      <c r="L17" s="16">
        <v>518102</v>
      </c>
      <c r="M17" s="16">
        <v>8073462</v>
      </c>
      <c r="N17" s="16">
        <v>3361982</v>
      </c>
      <c r="O17" s="16">
        <v>0</v>
      </c>
      <c r="P17" s="66">
        <v>17507</v>
      </c>
    </row>
    <row r="18" spans="5:16" ht="15.75" x14ac:dyDescent="0.25"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66"/>
    </row>
    <row r="19" spans="5:16" ht="15.75" x14ac:dyDescent="0.25">
      <c r="E19" s="20" t="s">
        <v>20</v>
      </c>
      <c r="F19" s="16">
        <f>G19+H19+I19+J19+K19+L19+M19+N19+O19+P19</f>
        <v>18869687</v>
      </c>
      <c r="G19" s="16">
        <v>56438</v>
      </c>
      <c r="H19" s="16">
        <v>2188127</v>
      </c>
      <c r="I19" s="16">
        <v>0</v>
      </c>
      <c r="J19" s="16">
        <v>7573651</v>
      </c>
      <c r="K19" s="16">
        <v>215394</v>
      </c>
      <c r="L19" s="16">
        <v>480636</v>
      </c>
      <c r="M19" s="16">
        <v>8355441</v>
      </c>
      <c r="N19" s="16">
        <v>0</v>
      </c>
      <c r="O19" s="16">
        <v>0</v>
      </c>
      <c r="P19" s="66">
        <v>0</v>
      </c>
    </row>
    <row r="20" spans="5:16" ht="15.75" x14ac:dyDescent="0.25"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66"/>
    </row>
    <row r="21" spans="5:16" ht="15.75" x14ac:dyDescent="0.25">
      <c r="E21" s="20" t="s">
        <v>21</v>
      </c>
      <c r="F21" s="16">
        <f>G21+H21+I21+J21+K21+L21+M21+N21+O21+P21</f>
        <v>4878016</v>
      </c>
      <c r="G21" s="16">
        <v>0</v>
      </c>
      <c r="H21" s="16">
        <v>523199</v>
      </c>
      <c r="I21" s="16">
        <v>0</v>
      </c>
      <c r="J21" s="16">
        <v>1583036</v>
      </c>
      <c r="K21" s="16">
        <v>2771781</v>
      </c>
      <c r="L21" s="16">
        <v>0</v>
      </c>
      <c r="M21" s="16">
        <v>0</v>
      </c>
      <c r="N21" s="16">
        <v>0</v>
      </c>
      <c r="O21" s="16">
        <v>0</v>
      </c>
      <c r="P21" s="66">
        <v>0</v>
      </c>
    </row>
    <row r="22" spans="5:16" ht="15.75" x14ac:dyDescent="0.25"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66"/>
    </row>
    <row r="23" spans="5:16" ht="15.75" x14ac:dyDescent="0.25">
      <c r="E23" s="20" t="s">
        <v>22</v>
      </c>
      <c r="F23" s="16">
        <f>G23+H23+I23+J23+K23+L23+M23+N23+O23+P23</f>
        <v>656846</v>
      </c>
      <c r="G23" s="16">
        <v>0</v>
      </c>
      <c r="H23" s="16">
        <v>23847</v>
      </c>
      <c r="I23" s="16">
        <v>0</v>
      </c>
      <c r="J23" s="16">
        <v>157164</v>
      </c>
      <c r="K23" s="16">
        <v>475835</v>
      </c>
      <c r="L23" s="16">
        <v>0</v>
      </c>
      <c r="M23" s="16">
        <v>0</v>
      </c>
      <c r="N23" s="16">
        <v>0</v>
      </c>
      <c r="O23" s="16">
        <v>0</v>
      </c>
      <c r="P23" s="66">
        <v>0</v>
      </c>
    </row>
    <row r="24" spans="5:16" ht="15.75" x14ac:dyDescent="0.25">
      <c r="E24" s="2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66"/>
    </row>
    <row r="25" spans="5:16" ht="15.75" x14ac:dyDescent="0.25">
      <c r="E25" s="65" t="s">
        <v>3</v>
      </c>
      <c r="F25" s="16">
        <f>F7+F9+F11+F13+F15+F17+F19+F21+F23</f>
        <v>286193352</v>
      </c>
      <c r="G25" s="16">
        <f t="shared" ref="G25:P25" si="0">G7+G9+G11+G13+G15+G17+G19+G21+G23</f>
        <v>1642772</v>
      </c>
      <c r="H25" s="16">
        <f t="shared" si="0"/>
        <v>35479042</v>
      </c>
      <c r="I25" s="16">
        <f t="shared" si="0"/>
        <v>11550</v>
      </c>
      <c r="J25" s="16">
        <f t="shared" si="0"/>
        <v>104532651</v>
      </c>
      <c r="K25" s="16">
        <f t="shared" si="0"/>
        <v>19868471</v>
      </c>
      <c r="L25" s="16">
        <f t="shared" si="0"/>
        <v>8820784</v>
      </c>
      <c r="M25" s="16">
        <f t="shared" si="0"/>
        <v>92085702</v>
      </c>
      <c r="N25" s="16">
        <f t="shared" si="0"/>
        <v>23264702</v>
      </c>
      <c r="O25" s="16">
        <f>O7+O9+O11+O13+O15+O17+O19+O21+O23</f>
        <v>396656</v>
      </c>
      <c r="P25" s="66">
        <f t="shared" si="0"/>
        <v>91022</v>
      </c>
    </row>
    <row r="26" spans="5:16" ht="16.5" thickBot="1" x14ac:dyDescent="0.3"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8"/>
      <c r="P26" s="67"/>
    </row>
    <row r="27" spans="5:16" ht="16.5" thickTop="1" x14ac:dyDescent="0.25"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7"/>
    </row>
    <row r="28" spans="5:16" ht="15.75" x14ac:dyDescent="0.25">
      <c r="E28" s="33" t="s">
        <v>23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</row>
    <row r="29" spans="5:16" ht="15.75" x14ac:dyDescent="0.25"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6" ht="15.75" x14ac:dyDescent="0.25">
      <c r="F30" s="34"/>
      <c r="G30" s="35"/>
      <c r="H30" s="35"/>
      <c r="I30" s="35"/>
      <c r="J30" s="35"/>
      <c r="K30" s="35"/>
      <c r="L30" s="35"/>
      <c r="M30" s="35"/>
      <c r="N30" s="35"/>
      <c r="O30" s="35"/>
    </row>
    <row r="31" spans="5:16" ht="15.75" x14ac:dyDescent="0.25">
      <c r="E31" s="2" t="s">
        <v>0</v>
      </c>
      <c r="F31" s="3"/>
      <c r="G31" s="3"/>
      <c r="H31" s="7"/>
      <c r="I31" s="3"/>
      <c r="J31" s="7"/>
      <c r="K31" s="7"/>
      <c r="L31" s="7"/>
      <c r="M31" s="7"/>
      <c r="N31" s="7"/>
      <c r="O31" s="7"/>
    </row>
    <row r="32" spans="5:16" ht="15.75" x14ac:dyDescent="0.25">
      <c r="F32" s="36"/>
      <c r="G32" s="37"/>
      <c r="H32" s="38"/>
      <c r="I32" s="38"/>
      <c r="J32" s="39" t="s">
        <v>1</v>
      </c>
      <c r="K32" s="38"/>
      <c r="L32" s="38"/>
      <c r="M32" s="38"/>
      <c r="N32" s="38"/>
      <c r="O32" s="38"/>
    </row>
    <row r="33" spans="5:16" ht="15.75" x14ac:dyDescent="0.25">
      <c r="E33" s="77">
        <v>2014</v>
      </c>
      <c r="F33" s="3"/>
      <c r="G33" s="3"/>
      <c r="H33" s="7"/>
      <c r="I33" s="3"/>
      <c r="J33" s="7"/>
      <c r="K33" s="7"/>
      <c r="L33" s="7"/>
      <c r="M33" s="7"/>
      <c r="N33" s="7"/>
      <c r="O33" s="7"/>
    </row>
    <row r="34" spans="5:16" ht="16.5" thickBot="1" x14ac:dyDescent="0.3">
      <c r="F34" s="36"/>
      <c r="G34" s="38"/>
      <c r="H34" s="38"/>
      <c r="I34" s="38"/>
      <c r="J34" s="38"/>
      <c r="K34" s="38"/>
      <c r="L34" s="38"/>
      <c r="M34" s="38"/>
      <c r="P34" s="76" t="s">
        <v>54</v>
      </c>
    </row>
    <row r="35" spans="5:16" ht="15.95" customHeight="1" thickTop="1" x14ac:dyDescent="0.25">
      <c r="E35" s="41" t="s">
        <v>24</v>
      </c>
      <c r="F35" s="42" t="s">
        <v>3</v>
      </c>
      <c r="G35" s="62" t="s">
        <v>43</v>
      </c>
      <c r="H35" s="62" t="s">
        <v>40</v>
      </c>
      <c r="I35" s="43" t="s">
        <v>6</v>
      </c>
      <c r="J35" s="43" t="s">
        <v>7</v>
      </c>
      <c r="K35" s="43" t="s">
        <v>8</v>
      </c>
      <c r="L35" s="43" t="s">
        <v>25</v>
      </c>
      <c r="M35" s="44" t="s">
        <v>10</v>
      </c>
      <c r="N35" s="12" t="s">
        <v>11</v>
      </c>
      <c r="O35" s="13" t="s">
        <v>59</v>
      </c>
      <c r="P35" s="63" t="s">
        <v>56</v>
      </c>
    </row>
    <row r="36" spans="5:16" ht="15.95" customHeight="1" x14ac:dyDescent="0.25">
      <c r="E36" s="45"/>
      <c r="F36" s="46"/>
      <c r="G36" s="46"/>
      <c r="H36" s="46"/>
      <c r="I36" s="46"/>
      <c r="J36" s="46"/>
      <c r="K36" s="46"/>
      <c r="L36" s="46"/>
      <c r="M36" s="78"/>
      <c r="N36" s="46"/>
      <c r="O36" s="78"/>
      <c r="P36" s="79"/>
    </row>
    <row r="37" spans="5:16" ht="15.95" customHeight="1" x14ac:dyDescent="0.25">
      <c r="E37" s="45" t="s">
        <v>26</v>
      </c>
      <c r="F37" s="49">
        <f>SUM(G37:P37)</f>
        <v>21276703</v>
      </c>
      <c r="G37" s="49">
        <v>124153</v>
      </c>
      <c r="H37" s="49">
        <v>2580472</v>
      </c>
      <c r="I37" s="49">
        <v>0</v>
      </c>
      <c r="J37" s="49">
        <v>7560101</v>
      </c>
      <c r="K37" s="49">
        <v>1600418</v>
      </c>
      <c r="L37" s="80">
        <v>751155</v>
      </c>
      <c r="M37" s="80">
        <v>6943550</v>
      </c>
      <c r="N37" s="49">
        <v>1716854</v>
      </c>
      <c r="O37" s="83">
        <v>0</v>
      </c>
      <c r="P37" s="81"/>
    </row>
    <row r="38" spans="5:16" ht="15.95" customHeight="1" x14ac:dyDescent="0.25">
      <c r="E38" s="45" t="s">
        <v>27</v>
      </c>
      <c r="F38" s="49">
        <f>SUM(G38:P38)</f>
        <v>22455080</v>
      </c>
      <c r="G38" s="49">
        <v>100546</v>
      </c>
      <c r="H38" s="49">
        <v>2580218</v>
      </c>
      <c r="I38" s="49">
        <v>1049</v>
      </c>
      <c r="J38" s="49">
        <v>7625112</v>
      </c>
      <c r="K38" s="49">
        <v>1430632</v>
      </c>
      <c r="L38" s="80">
        <v>902341</v>
      </c>
      <c r="M38" s="80">
        <v>7798443</v>
      </c>
      <c r="N38" s="49">
        <v>2015650</v>
      </c>
      <c r="O38" s="83">
        <v>0</v>
      </c>
      <c r="P38" s="81">
        <v>1089</v>
      </c>
    </row>
    <row r="39" spans="5:16" ht="15.95" customHeight="1" x14ac:dyDescent="0.25">
      <c r="E39" s="45" t="s">
        <v>28</v>
      </c>
      <c r="F39" s="49">
        <f>SUM(G39:P39)</f>
        <v>21266395</v>
      </c>
      <c r="G39" s="49">
        <v>108857</v>
      </c>
      <c r="H39" s="49">
        <v>2680464</v>
      </c>
      <c r="I39" s="49">
        <v>0</v>
      </c>
      <c r="J39" s="49">
        <v>7856566</v>
      </c>
      <c r="K39" s="49">
        <v>1648620</v>
      </c>
      <c r="L39" s="80">
        <v>705872</v>
      </c>
      <c r="M39" s="80">
        <v>6656053</v>
      </c>
      <c r="N39" s="49">
        <v>1608003</v>
      </c>
      <c r="O39" s="83">
        <v>0</v>
      </c>
      <c r="P39" s="81">
        <v>1960</v>
      </c>
    </row>
    <row r="40" spans="5:16" ht="15.95" customHeight="1" x14ac:dyDescent="0.25">
      <c r="E40" s="45"/>
      <c r="F40" s="49">
        <f t="shared" ref="F40:K40" si="1">F37+F38+F39</f>
        <v>64998178</v>
      </c>
      <c r="G40" s="49">
        <f t="shared" si="1"/>
        <v>333556</v>
      </c>
      <c r="H40" s="49">
        <f t="shared" si="1"/>
        <v>7841154</v>
      </c>
      <c r="I40" s="49">
        <f t="shared" si="1"/>
        <v>1049</v>
      </c>
      <c r="J40" s="49">
        <f t="shared" si="1"/>
        <v>23041779</v>
      </c>
      <c r="K40" s="49">
        <f t="shared" si="1"/>
        <v>4679670</v>
      </c>
      <c r="L40" s="80">
        <f>SUM(L37:L39)</f>
        <v>2359368</v>
      </c>
      <c r="M40" s="80">
        <f>SUM(M37:M39)</f>
        <v>21398046</v>
      </c>
      <c r="N40" s="49">
        <f>N37+N38+N39</f>
        <v>5340507</v>
      </c>
      <c r="O40" s="49">
        <f>O37+O38+O39</f>
        <v>0</v>
      </c>
      <c r="P40" s="81">
        <f>P37+P38+P39</f>
        <v>3049</v>
      </c>
    </row>
    <row r="41" spans="5:16" ht="15.95" customHeight="1" x14ac:dyDescent="0.25">
      <c r="E41" s="45" t="s">
        <v>29</v>
      </c>
      <c r="F41" s="49">
        <f>SUM(G41:P41)</f>
        <v>24726052</v>
      </c>
      <c r="G41" s="49">
        <v>133024</v>
      </c>
      <c r="H41" s="49">
        <v>2877163</v>
      </c>
      <c r="I41" s="49">
        <v>0</v>
      </c>
      <c r="J41" s="49">
        <v>9155593</v>
      </c>
      <c r="K41" s="49">
        <v>1554153</v>
      </c>
      <c r="L41" s="80">
        <v>731255</v>
      </c>
      <c r="M41" s="80">
        <v>6656053</v>
      </c>
      <c r="N41" s="49">
        <v>3608081</v>
      </c>
      <c r="O41" s="83">
        <v>0</v>
      </c>
      <c r="P41" s="81">
        <v>10730</v>
      </c>
    </row>
    <row r="42" spans="5:16" ht="15.95" customHeight="1" x14ac:dyDescent="0.25">
      <c r="E42" s="45" t="s">
        <v>30</v>
      </c>
      <c r="F42" s="49">
        <f>SUM(G42:P42)</f>
        <v>25329530</v>
      </c>
      <c r="G42" s="49">
        <v>157465</v>
      </c>
      <c r="H42" s="49">
        <v>3072047</v>
      </c>
      <c r="I42" s="49">
        <v>0</v>
      </c>
      <c r="J42" s="49">
        <v>10277481</v>
      </c>
      <c r="K42" s="49">
        <v>1520901</v>
      </c>
      <c r="L42" s="80">
        <v>711809</v>
      </c>
      <c r="M42" s="80">
        <v>7711472</v>
      </c>
      <c r="N42" s="49">
        <v>1874133</v>
      </c>
      <c r="O42" s="83">
        <v>0</v>
      </c>
      <c r="P42" s="81">
        <v>4222</v>
      </c>
    </row>
    <row r="43" spans="5:16" ht="15.95" customHeight="1" x14ac:dyDescent="0.25">
      <c r="E43" s="45" t="s">
        <v>31</v>
      </c>
      <c r="F43" s="49">
        <f>SUM(G43:P43)</f>
        <v>23180294</v>
      </c>
      <c r="G43" s="49">
        <v>140046</v>
      </c>
      <c r="H43" s="49">
        <v>3113611</v>
      </c>
      <c r="I43" s="49">
        <v>0</v>
      </c>
      <c r="J43" s="49">
        <v>9044266</v>
      </c>
      <c r="K43" s="49">
        <v>1719670</v>
      </c>
      <c r="L43" s="80">
        <v>846330</v>
      </c>
      <c r="M43" s="80">
        <v>7470507</v>
      </c>
      <c r="N43" s="49">
        <v>813261</v>
      </c>
      <c r="O43" s="83">
        <v>0</v>
      </c>
      <c r="P43" s="81">
        <v>32603</v>
      </c>
    </row>
    <row r="44" spans="5:16" ht="15.95" customHeight="1" x14ac:dyDescent="0.25">
      <c r="E44" s="45"/>
      <c r="F44" s="49">
        <f t="shared" ref="F44:K44" si="2">F41+F42+F43</f>
        <v>73235876</v>
      </c>
      <c r="G44" s="49">
        <f t="shared" si="2"/>
        <v>430535</v>
      </c>
      <c r="H44" s="49">
        <f t="shared" si="2"/>
        <v>9062821</v>
      </c>
      <c r="I44" s="49">
        <f t="shared" si="2"/>
        <v>0</v>
      </c>
      <c r="J44" s="49">
        <f t="shared" si="2"/>
        <v>28477340</v>
      </c>
      <c r="K44" s="49">
        <f t="shared" si="2"/>
        <v>4794724</v>
      </c>
      <c r="L44" s="80">
        <f>SUM(L41:L43)</f>
        <v>2289394</v>
      </c>
      <c r="M44" s="80">
        <f>SUM(M41:M43)</f>
        <v>21838032</v>
      </c>
      <c r="N44" s="49">
        <f>N41+N42+N43</f>
        <v>6295475</v>
      </c>
      <c r="O44" s="49">
        <f>O41+O42+O43</f>
        <v>0</v>
      </c>
      <c r="P44" s="81">
        <f>P41+P42+P43</f>
        <v>47555</v>
      </c>
    </row>
    <row r="45" spans="5:16" ht="15.95" customHeight="1" x14ac:dyDescent="0.25">
      <c r="E45" s="45" t="s">
        <v>32</v>
      </c>
      <c r="F45" s="49">
        <f>SUM(G45:P45)</f>
        <v>27939487</v>
      </c>
      <c r="G45" s="49">
        <v>211447</v>
      </c>
      <c r="H45" s="49">
        <v>3383622</v>
      </c>
      <c r="I45" s="49">
        <v>0</v>
      </c>
      <c r="J45" s="49">
        <v>9960869</v>
      </c>
      <c r="K45" s="49">
        <v>1896426</v>
      </c>
      <c r="L45" s="80">
        <v>940585</v>
      </c>
      <c r="M45" s="80">
        <v>8547520</v>
      </c>
      <c r="N45" s="49">
        <v>2996783</v>
      </c>
      <c r="O45" s="83">
        <v>0</v>
      </c>
      <c r="P45" s="81">
        <v>2235</v>
      </c>
    </row>
    <row r="46" spans="5:16" ht="15.95" customHeight="1" x14ac:dyDescent="0.25">
      <c r="E46" s="45" t="s">
        <v>41</v>
      </c>
      <c r="F46" s="49">
        <f>SUM(G46:P46)</f>
        <v>28044352</v>
      </c>
      <c r="G46" s="49">
        <v>152290</v>
      </c>
      <c r="H46" s="49">
        <v>3650057</v>
      </c>
      <c r="I46" s="49">
        <v>2972</v>
      </c>
      <c r="J46" s="49">
        <v>8959106</v>
      </c>
      <c r="K46" s="49">
        <v>1991057</v>
      </c>
      <c r="L46" s="80">
        <v>1033149</v>
      </c>
      <c r="M46" s="80">
        <v>10540642</v>
      </c>
      <c r="N46" s="49">
        <v>1704095</v>
      </c>
      <c r="O46" s="83">
        <v>0</v>
      </c>
      <c r="P46" s="81">
        <v>10984</v>
      </c>
    </row>
    <row r="47" spans="5:16" ht="15.95" customHeight="1" x14ac:dyDescent="0.25">
      <c r="E47" s="45" t="s">
        <v>34</v>
      </c>
      <c r="F47" s="49">
        <f>SUM(G47:P47)</f>
        <v>22886039</v>
      </c>
      <c r="G47" s="49">
        <v>131376</v>
      </c>
      <c r="H47" s="49">
        <v>3189787</v>
      </c>
      <c r="I47" s="49">
        <v>0</v>
      </c>
      <c r="J47" s="49">
        <v>9019824</v>
      </c>
      <c r="K47" s="49">
        <v>1873576</v>
      </c>
      <c r="L47" s="80">
        <v>870462</v>
      </c>
      <c r="M47" s="80">
        <v>7581037</v>
      </c>
      <c r="N47" s="49">
        <v>0</v>
      </c>
      <c r="O47" s="83">
        <v>216202</v>
      </c>
      <c r="P47" s="81">
        <v>3775</v>
      </c>
    </row>
    <row r="48" spans="5:16" ht="15.95" customHeight="1" x14ac:dyDescent="0.25">
      <c r="E48" s="45"/>
      <c r="F48" s="49">
        <f t="shared" ref="F48:O48" si="3">F45+F46+F47</f>
        <v>78869878</v>
      </c>
      <c r="G48" s="49">
        <f t="shared" si="3"/>
        <v>495113</v>
      </c>
      <c r="H48" s="49">
        <f t="shared" si="3"/>
        <v>10223466</v>
      </c>
      <c r="I48" s="49">
        <f t="shared" si="3"/>
        <v>2972</v>
      </c>
      <c r="J48" s="49">
        <f t="shared" si="3"/>
        <v>27939799</v>
      </c>
      <c r="K48" s="49">
        <f t="shared" si="3"/>
        <v>5761059</v>
      </c>
      <c r="L48" s="80">
        <f>SUM(L45:L47)</f>
        <v>2844196</v>
      </c>
      <c r="M48" s="80">
        <f>SUM(M45:M47)</f>
        <v>26669199</v>
      </c>
      <c r="N48" s="49">
        <f t="shared" si="3"/>
        <v>4700878</v>
      </c>
      <c r="O48" s="49">
        <f t="shared" si="3"/>
        <v>216202</v>
      </c>
      <c r="P48" s="81">
        <f>P45+P46+P47</f>
        <v>16994</v>
      </c>
    </row>
    <row r="49" spans="5:16" ht="15.95" customHeight="1" x14ac:dyDescent="0.25">
      <c r="E49" s="45" t="s">
        <v>35</v>
      </c>
      <c r="F49" s="49">
        <f>SUM(G49:P49)</f>
        <v>25043288</v>
      </c>
      <c r="G49" s="49">
        <v>119144</v>
      </c>
      <c r="H49" s="49">
        <v>3081288</v>
      </c>
      <c r="I49" s="49">
        <v>2535</v>
      </c>
      <c r="J49" s="49">
        <v>9197814</v>
      </c>
      <c r="K49" s="49">
        <v>1493405</v>
      </c>
      <c r="L49" s="80">
        <v>441386</v>
      </c>
      <c r="M49" s="80">
        <v>7244398</v>
      </c>
      <c r="N49" s="49">
        <v>3412876</v>
      </c>
      <c r="O49" s="83">
        <v>50442</v>
      </c>
      <c r="P49" s="81"/>
    </row>
    <row r="50" spans="5:16" ht="15.95" customHeight="1" x14ac:dyDescent="0.25">
      <c r="E50" s="45" t="s">
        <v>36</v>
      </c>
      <c r="F50" s="49">
        <f>SUM(G50:P50)</f>
        <v>19987223</v>
      </c>
      <c r="G50" s="49">
        <v>124977</v>
      </c>
      <c r="H50" s="49">
        <v>2401456</v>
      </c>
      <c r="I50" s="49">
        <v>1999</v>
      </c>
      <c r="J50" s="49">
        <v>7336919</v>
      </c>
      <c r="K50" s="49">
        <v>1456330</v>
      </c>
      <c r="L50" s="80">
        <v>397407</v>
      </c>
      <c r="M50" s="80">
        <v>6900473</v>
      </c>
      <c r="N50" s="49">
        <v>1269658</v>
      </c>
      <c r="O50" s="83">
        <v>95582</v>
      </c>
      <c r="P50" s="81">
        <v>2422</v>
      </c>
    </row>
    <row r="51" spans="5:16" ht="15.95" customHeight="1" x14ac:dyDescent="0.25">
      <c r="E51" s="45" t="s">
        <v>37</v>
      </c>
      <c r="F51" s="49">
        <f>SUM(G51:P51)</f>
        <v>24058909</v>
      </c>
      <c r="G51" s="49">
        <v>139447</v>
      </c>
      <c r="H51" s="49">
        <v>2868857</v>
      </c>
      <c r="I51" s="49">
        <v>2995</v>
      </c>
      <c r="J51" s="49">
        <v>8539000</v>
      </c>
      <c r="K51" s="49">
        <v>1683283</v>
      </c>
      <c r="L51" s="80">
        <v>489033</v>
      </c>
      <c r="M51" s="80">
        <v>8035554</v>
      </c>
      <c r="N51" s="49">
        <v>2245308</v>
      </c>
      <c r="O51" s="83">
        <v>34430</v>
      </c>
      <c r="P51" s="81">
        <v>21002</v>
      </c>
    </row>
    <row r="52" spans="5:16" ht="15.95" customHeight="1" x14ac:dyDescent="0.25">
      <c r="E52" s="45"/>
      <c r="F52" s="49">
        <f t="shared" ref="F52:O52" si="4">F49+F50+F51</f>
        <v>69089420</v>
      </c>
      <c r="G52" s="49">
        <f t="shared" si="4"/>
        <v>383568</v>
      </c>
      <c r="H52" s="49">
        <f t="shared" si="4"/>
        <v>8351601</v>
      </c>
      <c r="I52" s="49">
        <f t="shared" si="4"/>
        <v>7529</v>
      </c>
      <c r="J52" s="49">
        <f t="shared" si="4"/>
        <v>25073733</v>
      </c>
      <c r="K52" s="49">
        <f t="shared" si="4"/>
        <v>4633018</v>
      </c>
      <c r="L52" s="80">
        <f>SUM(L49:L51)</f>
        <v>1327826</v>
      </c>
      <c r="M52" s="82">
        <f>SUM(M49:M51)</f>
        <v>22180425</v>
      </c>
      <c r="N52" s="49">
        <f t="shared" si="4"/>
        <v>6927842</v>
      </c>
      <c r="O52" s="49">
        <f t="shared" si="4"/>
        <v>180454</v>
      </c>
      <c r="P52" s="81">
        <f>P49+P50+P51</f>
        <v>23424</v>
      </c>
    </row>
    <row r="53" spans="5:16" ht="15.95" customHeight="1" x14ac:dyDescent="0.25">
      <c r="E53" s="70" t="s">
        <v>38</v>
      </c>
      <c r="F53" s="49">
        <f t="shared" ref="F53:O53" si="5">F37+F38+F39+F41+F42+F43+F45+F46+F47+F49+F50+F51</f>
        <v>286193352</v>
      </c>
      <c r="G53" s="49">
        <f t="shared" si="5"/>
        <v>1642772</v>
      </c>
      <c r="H53" s="49">
        <f t="shared" si="5"/>
        <v>35479042</v>
      </c>
      <c r="I53" s="49">
        <f t="shared" si="5"/>
        <v>11550</v>
      </c>
      <c r="J53" s="49">
        <f t="shared" si="5"/>
        <v>104532651</v>
      </c>
      <c r="K53" s="49">
        <f t="shared" si="5"/>
        <v>19868471</v>
      </c>
      <c r="L53" s="49">
        <f t="shared" si="5"/>
        <v>8820784</v>
      </c>
      <c r="M53" s="83">
        <f t="shared" si="5"/>
        <v>92085702</v>
      </c>
      <c r="N53" s="49">
        <f t="shared" si="5"/>
        <v>23264702</v>
      </c>
      <c r="O53" s="49">
        <f t="shared" si="5"/>
        <v>396656</v>
      </c>
      <c r="P53" s="81">
        <f>P37+P38+P39+P41+P42+P43+P45+P46+P47+P49+P50+P51</f>
        <v>91022</v>
      </c>
    </row>
    <row r="54" spans="5:16" ht="15.95" customHeight="1" thickBot="1" x14ac:dyDescent="0.3">
      <c r="E54" s="58"/>
      <c r="F54" s="26"/>
      <c r="G54" s="27"/>
      <c r="H54" s="27"/>
      <c r="I54" s="27"/>
      <c r="J54" s="27"/>
      <c r="K54" s="27"/>
      <c r="L54" s="27"/>
      <c r="M54" s="28"/>
      <c r="N54" s="27"/>
      <c r="O54" s="28"/>
      <c r="P54" s="67"/>
    </row>
    <row r="55" spans="5:16" ht="16.5" thickTop="1" x14ac:dyDescent="0.25">
      <c r="F55" s="59"/>
      <c r="G55" s="60"/>
      <c r="H55" s="60"/>
      <c r="I55" s="60"/>
      <c r="J55" s="60"/>
      <c r="K55" s="60"/>
      <c r="L55" s="60"/>
      <c r="M55" s="60"/>
      <c r="N55" s="60"/>
      <c r="O55" s="60"/>
      <c r="P55" s="37"/>
    </row>
    <row r="56" spans="5:16" ht="15.75" x14ac:dyDescent="0.25">
      <c r="E56" s="33" t="s">
        <v>23</v>
      </c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37"/>
    </row>
    <row r="57" spans="5:16" ht="15.75" x14ac:dyDescent="0.25">
      <c r="E57" s="61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37"/>
    </row>
    <row r="58" spans="5:16" ht="15.75" x14ac:dyDescent="0.25">
      <c r="F58" s="59"/>
      <c r="G58" s="60"/>
      <c r="H58" s="60"/>
      <c r="I58" s="60"/>
      <c r="J58" s="60"/>
      <c r="K58" s="60"/>
      <c r="L58" s="60"/>
      <c r="M58" s="60"/>
      <c r="N58" s="60"/>
      <c r="O58" s="60"/>
    </row>
    <row r="59" spans="5:16" ht="15.75" x14ac:dyDescent="0.25">
      <c r="F59" s="59"/>
      <c r="G59" s="60"/>
      <c r="H59" s="60"/>
      <c r="I59" s="60"/>
      <c r="J59" s="60"/>
      <c r="K59" s="60"/>
      <c r="L59" s="60"/>
      <c r="M59" s="60"/>
      <c r="N59" s="60"/>
      <c r="O59" s="60"/>
    </row>
    <row r="60" spans="5:16" ht="15.75" x14ac:dyDescent="0.25">
      <c r="F60" s="59"/>
      <c r="G60" s="60"/>
      <c r="H60" s="60"/>
      <c r="I60" s="60"/>
      <c r="J60" s="60"/>
      <c r="K60" s="60"/>
      <c r="L60" s="60"/>
      <c r="M60" s="60"/>
      <c r="N60" s="60"/>
      <c r="O60" s="60"/>
    </row>
    <row r="61" spans="5:16" ht="15.75" x14ac:dyDescent="0.25">
      <c r="F61" s="59"/>
      <c r="G61" s="60"/>
      <c r="H61" s="60"/>
      <c r="I61" s="60"/>
      <c r="J61" s="60"/>
      <c r="K61" s="60"/>
      <c r="L61" s="60"/>
      <c r="M61" s="60"/>
      <c r="N61" s="60"/>
      <c r="O61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syncVertical="1" syncRef="D1" transitionEvaluation="1"/>
  <dimension ref="A1:P61"/>
  <sheetViews>
    <sheetView showGridLines="0" topLeftCell="D1" workbookViewId="0">
      <selection activeCell="F3" sqref="F3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15.28515625" style="1" customWidth="1"/>
    <col min="11" max="11" width="14.5703125" style="1" customWidth="1"/>
    <col min="12" max="12" width="15" style="1" customWidth="1"/>
    <col min="13" max="13" width="14.5703125" style="1" customWidth="1"/>
    <col min="14" max="15" width="14.28515625" style="1" customWidth="1"/>
    <col min="16" max="16" width="14.140625" style="1" customWidth="1"/>
    <col min="17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15.28515625" style="1" customWidth="1"/>
    <col min="267" max="267" width="14.5703125" style="1" customWidth="1"/>
    <col min="268" max="268" width="15" style="1" customWidth="1"/>
    <col min="269" max="269" width="14.5703125" style="1" customWidth="1"/>
    <col min="270" max="271" width="14.28515625" style="1" customWidth="1"/>
    <col min="272" max="272" width="14.140625" style="1" customWidth="1"/>
    <col min="273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15.28515625" style="1" customWidth="1"/>
    <col min="523" max="523" width="14.5703125" style="1" customWidth="1"/>
    <col min="524" max="524" width="15" style="1" customWidth="1"/>
    <col min="525" max="525" width="14.5703125" style="1" customWidth="1"/>
    <col min="526" max="527" width="14.28515625" style="1" customWidth="1"/>
    <col min="528" max="528" width="14.140625" style="1" customWidth="1"/>
    <col min="529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15.28515625" style="1" customWidth="1"/>
    <col min="779" max="779" width="14.5703125" style="1" customWidth="1"/>
    <col min="780" max="780" width="15" style="1" customWidth="1"/>
    <col min="781" max="781" width="14.5703125" style="1" customWidth="1"/>
    <col min="782" max="783" width="14.28515625" style="1" customWidth="1"/>
    <col min="784" max="784" width="14.140625" style="1" customWidth="1"/>
    <col min="785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15.28515625" style="1" customWidth="1"/>
    <col min="1035" max="1035" width="14.5703125" style="1" customWidth="1"/>
    <col min="1036" max="1036" width="15" style="1" customWidth="1"/>
    <col min="1037" max="1037" width="14.5703125" style="1" customWidth="1"/>
    <col min="1038" max="1039" width="14.28515625" style="1" customWidth="1"/>
    <col min="1040" max="1040" width="14.140625" style="1" customWidth="1"/>
    <col min="1041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15.28515625" style="1" customWidth="1"/>
    <col min="1291" max="1291" width="14.5703125" style="1" customWidth="1"/>
    <col min="1292" max="1292" width="15" style="1" customWidth="1"/>
    <col min="1293" max="1293" width="14.5703125" style="1" customWidth="1"/>
    <col min="1294" max="1295" width="14.28515625" style="1" customWidth="1"/>
    <col min="1296" max="1296" width="14.140625" style="1" customWidth="1"/>
    <col min="1297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15.28515625" style="1" customWidth="1"/>
    <col min="1547" max="1547" width="14.5703125" style="1" customWidth="1"/>
    <col min="1548" max="1548" width="15" style="1" customWidth="1"/>
    <col min="1549" max="1549" width="14.5703125" style="1" customWidth="1"/>
    <col min="1550" max="1551" width="14.28515625" style="1" customWidth="1"/>
    <col min="1552" max="1552" width="14.140625" style="1" customWidth="1"/>
    <col min="1553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15.28515625" style="1" customWidth="1"/>
    <col min="1803" max="1803" width="14.5703125" style="1" customWidth="1"/>
    <col min="1804" max="1804" width="15" style="1" customWidth="1"/>
    <col min="1805" max="1805" width="14.5703125" style="1" customWidth="1"/>
    <col min="1806" max="1807" width="14.28515625" style="1" customWidth="1"/>
    <col min="1808" max="1808" width="14.140625" style="1" customWidth="1"/>
    <col min="1809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15.28515625" style="1" customWidth="1"/>
    <col min="2059" max="2059" width="14.5703125" style="1" customWidth="1"/>
    <col min="2060" max="2060" width="15" style="1" customWidth="1"/>
    <col min="2061" max="2061" width="14.5703125" style="1" customWidth="1"/>
    <col min="2062" max="2063" width="14.28515625" style="1" customWidth="1"/>
    <col min="2064" max="2064" width="14.140625" style="1" customWidth="1"/>
    <col min="2065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15.28515625" style="1" customWidth="1"/>
    <col min="2315" max="2315" width="14.5703125" style="1" customWidth="1"/>
    <col min="2316" max="2316" width="15" style="1" customWidth="1"/>
    <col min="2317" max="2317" width="14.5703125" style="1" customWidth="1"/>
    <col min="2318" max="2319" width="14.28515625" style="1" customWidth="1"/>
    <col min="2320" max="2320" width="14.140625" style="1" customWidth="1"/>
    <col min="2321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15.28515625" style="1" customWidth="1"/>
    <col min="2571" max="2571" width="14.5703125" style="1" customWidth="1"/>
    <col min="2572" max="2572" width="15" style="1" customWidth="1"/>
    <col min="2573" max="2573" width="14.5703125" style="1" customWidth="1"/>
    <col min="2574" max="2575" width="14.28515625" style="1" customWidth="1"/>
    <col min="2576" max="2576" width="14.140625" style="1" customWidth="1"/>
    <col min="2577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15.28515625" style="1" customWidth="1"/>
    <col min="2827" max="2827" width="14.5703125" style="1" customWidth="1"/>
    <col min="2828" max="2828" width="15" style="1" customWidth="1"/>
    <col min="2829" max="2829" width="14.5703125" style="1" customWidth="1"/>
    <col min="2830" max="2831" width="14.28515625" style="1" customWidth="1"/>
    <col min="2832" max="2832" width="14.140625" style="1" customWidth="1"/>
    <col min="2833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15.28515625" style="1" customWidth="1"/>
    <col min="3083" max="3083" width="14.5703125" style="1" customWidth="1"/>
    <col min="3084" max="3084" width="15" style="1" customWidth="1"/>
    <col min="3085" max="3085" width="14.5703125" style="1" customWidth="1"/>
    <col min="3086" max="3087" width="14.28515625" style="1" customWidth="1"/>
    <col min="3088" max="3088" width="14.140625" style="1" customWidth="1"/>
    <col min="3089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15.28515625" style="1" customWidth="1"/>
    <col min="3339" max="3339" width="14.5703125" style="1" customWidth="1"/>
    <col min="3340" max="3340" width="15" style="1" customWidth="1"/>
    <col min="3341" max="3341" width="14.5703125" style="1" customWidth="1"/>
    <col min="3342" max="3343" width="14.28515625" style="1" customWidth="1"/>
    <col min="3344" max="3344" width="14.140625" style="1" customWidth="1"/>
    <col min="3345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15.28515625" style="1" customWidth="1"/>
    <col min="3595" max="3595" width="14.5703125" style="1" customWidth="1"/>
    <col min="3596" max="3596" width="15" style="1" customWidth="1"/>
    <col min="3597" max="3597" width="14.5703125" style="1" customWidth="1"/>
    <col min="3598" max="3599" width="14.28515625" style="1" customWidth="1"/>
    <col min="3600" max="3600" width="14.140625" style="1" customWidth="1"/>
    <col min="3601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15.28515625" style="1" customWidth="1"/>
    <col min="3851" max="3851" width="14.5703125" style="1" customWidth="1"/>
    <col min="3852" max="3852" width="15" style="1" customWidth="1"/>
    <col min="3853" max="3853" width="14.5703125" style="1" customWidth="1"/>
    <col min="3854" max="3855" width="14.28515625" style="1" customWidth="1"/>
    <col min="3856" max="3856" width="14.140625" style="1" customWidth="1"/>
    <col min="3857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15.28515625" style="1" customWidth="1"/>
    <col min="4107" max="4107" width="14.5703125" style="1" customWidth="1"/>
    <col min="4108" max="4108" width="15" style="1" customWidth="1"/>
    <col min="4109" max="4109" width="14.5703125" style="1" customWidth="1"/>
    <col min="4110" max="4111" width="14.28515625" style="1" customWidth="1"/>
    <col min="4112" max="4112" width="14.140625" style="1" customWidth="1"/>
    <col min="4113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15.28515625" style="1" customWidth="1"/>
    <col min="4363" max="4363" width="14.5703125" style="1" customWidth="1"/>
    <col min="4364" max="4364" width="15" style="1" customWidth="1"/>
    <col min="4365" max="4365" width="14.5703125" style="1" customWidth="1"/>
    <col min="4366" max="4367" width="14.28515625" style="1" customWidth="1"/>
    <col min="4368" max="4368" width="14.140625" style="1" customWidth="1"/>
    <col min="4369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15.28515625" style="1" customWidth="1"/>
    <col min="4619" max="4619" width="14.5703125" style="1" customWidth="1"/>
    <col min="4620" max="4620" width="15" style="1" customWidth="1"/>
    <col min="4621" max="4621" width="14.5703125" style="1" customWidth="1"/>
    <col min="4622" max="4623" width="14.28515625" style="1" customWidth="1"/>
    <col min="4624" max="4624" width="14.140625" style="1" customWidth="1"/>
    <col min="4625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15.28515625" style="1" customWidth="1"/>
    <col min="4875" max="4875" width="14.5703125" style="1" customWidth="1"/>
    <col min="4876" max="4876" width="15" style="1" customWidth="1"/>
    <col min="4877" max="4877" width="14.5703125" style="1" customWidth="1"/>
    <col min="4878" max="4879" width="14.28515625" style="1" customWidth="1"/>
    <col min="4880" max="4880" width="14.140625" style="1" customWidth="1"/>
    <col min="4881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15.28515625" style="1" customWidth="1"/>
    <col min="5131" max="5131" width="14.5703125" style="1" customWidth="1"/>
    <col min="5132" max="5132" width="15" style="1" customWidth="1"/>
    <col min="5133" max="5133" width="14.5703125" style="1" customWidth="1"/>
    <col min="5134" max="5135" width="14.28515625" style="1" customWidth="1"/>
    <col min="5136" max="5136" width="14.140625" style="1" customWidth="1"/>
    <col min="5137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15.28515625" style="1" customWidth="1"/>
    <col min="5387" max="5387" width="14.5703125" style="1" customWidth="1"/>
    <col min="5388" max="5388" width="15" style="1" customWidth="1"/>
    <col min="5389" max="5389" width="14.5703125" style="1" customWidth="1"/>
    <col min="5390" max="5391" width="14.28515625" style="1" customWidth="1"/>
    <col min="5392" max="5392" width="14.140625" style="1" customWidth="1"/>
    <col min="5393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15.28515625" style="1" customWidth="1"/>
    <col min="5643" max="5643" width="14.5703125" style="1" customWidth="1"/>
    <col min="5644" max="5644" width="15" style="1" customWidth="1"/>
    <col min="5645" max="5645" width="14.5703125" style="1" customWidth="1"/>
    <col min="5646" max="5647" width="14.28515625" style="1" customWidth="1"/>
    <col min="5648" max="5648" width="14.140625" style="1" customWidth="1"/>
    <col min="5649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15.28515625" style="1" customWidth="1"/>
    <col min="5899" max="5899" width="14.5703125" style="1" customWidth="1"/>
    <col min="5900" max="5900" width="15" style="1" customWidth="1"/>
    <col min="5901" max="5901" width="14.5703125" style="1" customWidth="1"/>
    <col min="5902" max="5903" width="14.28515625" style="1" customWidth="1"/>
    <col min="5904" max="5904" width="14.140625" style="1" customWidth="1"/>
    <col min="5905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15.28515625" style="1" customWidth="1"/>
    <col min="6155" max="6155" width="14.5703125" style="1" customWidth="1"/>
    <col min="6156" max="6156" width="15" style="1" customWidth="1"/>
    <col min="6157" max="6157" width="14.5703125" style="1" customWidth="1"/>
    <col min="6158" max="6159" width="14.28515625" style="1" customWidth="1"/>
    <col min="6160" max="6160" width="14.140625" style="1" customWidth="1"/>
    <col min="6161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15.28515625" style="1" customWidth="1"/>
    <col min="6411" max="6411" width="14.5703125" style="1" customWidth="1"/>
    <col min="6412" max="6412" width="15" style="1" customWidth="1"/>
    <col min="6413" max="6413" width="14.5703125" style="1" customWidth="1"/>
    <col min="6414" max="6415" width="14.28515625" style="1" customWidth="1"/>
    <col min="6416" max="6416" width="14.140625" style="1" customWidth="1"/>
    <col min="6417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15.28515625" style="1" customWidth="1"/>
    <col min="6667" max="6667" width="14.5703125" style="1" customWidth="1"/>
    <col min="6668" max="6668" width="15" style="1" customWidth="1"/>
    <col min="6669" max="6669" width="14.5703125" style="1" customWidth="1"/>
    <col min="6670" max="6671" width="14.28515625" style="1" customWidth="1"/>
    <col min="6672" max="6672" width="14.140625" style="1" customWidth="1"/>
    <col min="6673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15.28515625" style="1" customWidth="1"/>
    <col min="6923" max="6923" width="14.5703125" style="1" customWidth="1"/>
    <col min="6924" max="6924" width="15" style="1" customWidth="1"/>
    <col min="6925" max="6925" width="14.5703125" style="1" customWidth="1"/>
    <col min="6926" max="6927" width="14.28515625" style="1" customWidth="1"/>
    <col min="6928" max="6928" width="14.140625" style="1" customWidth="1"/>
    <col min="6929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15.28515625" style="1" customWidth="1"/>
    <col min="7179" max="7179" width="14.5703125" style="1" customWidth="1"/>
    <col min="7180" max="7180" width="15" style="1" customWidth="1"/>
    <col min="7181" max="7181" width="14.5703125" style="1" customWidth="1"/>
    <col min="7182" max="7183" width="14.28515625" style="1" customWidth="1"/>
    <col min="7184" max="7184" width="14.140625" style="1" customWidth="1"/>
    <col min="7185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15.28515625" style="1" customWidth="1"/>
    <col min="7435" max="7435" width="14.5703125" style="1" customWidth="1"/>
    <col min="7436" max="7436" width="15" style="1" customWidth="1"/>
    <col min="7437" max="7437" width="14.5703125" style="1" customWidth="1"/>
    <col min="7438" max="7439" width="14.28515625" style="1" customWidth="1"/>
    <col min="7440" max="7440" width="14.140625" style="1" customWidth="1"/>
    <col min="7441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15.28515625" style="1" customWidth="1"/>
    <col min="7691" max="7691" width="14.5703125" style="1" customWidth="1"/>
    <col min="7692" max="7692" width="15" style="1" customWidth="1"/>
    <col min="7693" max="7693" width="14.5703125" style="1" customWidth="1"/>
    <col min="7694" max="7695" width="14.28515625" style="1" customWidth="1"/>
    <col min="7696" max="7696" width="14.140625" style="1" customWidth="1"/>
    <col min="7697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15.28515625" style="1" customWidth="1"/>
    <col min="7947" max="7947" width="14.5703125" style="1" customWidth="1"/>
    <col min="7948" max="7948" width="15" style="1" customWidth="1"/>
    <col min="7949" max="7949" width="14.5703125" style="1" customWidth="1"/>
    <col min="7950" max="7951" width="14.28515625" style="1" customWidth="1"/>
    <col min="7952" max="7952" width="14.140625" style="1" customWidth="1"/>
    <col min="7953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15.28515625" style="1" customWidth="1"/>
    <col min="8203" max="8203" width="14.5703125" style="1" customWidth="1"/>
    <col min="8204" max="8204" width="15" style="1" customWidth="1"/>
    <col min="8205" max="8205" width="14.5703125" style="1" customWidth="1"/>
    <col min="8206" max="8207" width="14.28515625" style="1" customWidth="1"/>
    <col min="8208" max="8208" width="14.140625" style="1" customWidth="1"/>
    <col min="8209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15.28515625" style="1" customWidth="1"/>
    <col min="8459" max="8459" width="14.5703125" style="1" customWidth="1"/>
    <col min="8460" max="8460" width="15" style="1" customWidth="1"/>
    <col min="8461" max="8461" width="14.5703125" style="1" customWidth="1"/>
    <col min="8462" max="8463" width="14.28515625" style="1" customWidth="1"/>
    <col min="8464" max="8464" width="14.140625" style="1" customWidth="1"/>
    <col min="8465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15.28515625" style="1" customWidth="1"/>
    <col min="8715" max="8715" width="14.5703125" style="1" customWidth="1"/>
    <col min="8716" max="8716" width="15" style="1" customWidth="1"/>
    <col min="8717" max="8717" width="14.5703125" style="1" customWidth="1"/>
    <col min="8718" max="8719" width="14.28515625" style="1" customWidth="1"/>
    <col min="8720" max="8720" width="14.140625" style="1" customWidth="1"/>
    <col min="8721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15.28515625" style="1" customWidth="1"/>
    <col min="8971" max="8971" width="14.5703125" style="1" customWidth="1"/>
    <col min="8972" max="8972" width="15" style="1" customWidth="1"/>
    <col min="8973" max="8973" width="14.5703125" style="1" customWidth="1"/>
    <col min="8974" max="8975" width="14.28515625" style="1" customWidth="1"/>
    <col min="8976" max="8976" width="14.140625" style="1" customWidth="1"/>
    <col min="8977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15.28515625" style="1" customWidth="1"/>
    <col min="9227" max="9227" width="14.5703125" style="1" customWidth="1"/>
    <col min="9228" max="9228" width="15" style="1" customWidth="1"/>
    <col min="9229" max="9229" width="14.5703125" style="1" customWidth="1"/>
    <col min="9230" max="9231" width="14.28515625" style="1" customWidth="1"/>
    <col min="9232" max="9232" width="14.140625" style="1" customWidth="1"/>
    <col min="9233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15.28515625" style="1" customWidth="1"/>
    <col min="9483" max="9483" width="14.5703125" style="1" customWidth="1"/>
    <col min="9484" max="9484" width="15" style="1" customWidth="1"/>
    <col min="9485" max="9485" width="14.5703125" style="1" customWidth="1"/>
    <col min="9486" max="9487" width="14.28515625" style="1" customWidth="1"/>
    <col min="9488" max="9488" width="14.140625" style="1" customWidth="1"/>
    <col min="9489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15.28515625" style="1" customWidth="1"/>
    <col min="9739" max="9739" width="14.5703125" style="1" customWidth="1"/>
    <col min="9740" max="9740" width="15" style="1" customWidth="1"/>
    <col min="9741" max="9741" width="14.5703125" style="1" customWidth="1"/>
    <col min="9742" max="9743" width="14.28515625" style="1" customWidth="1"/>
    <col min="9744" max="9744" width="14.140625" style="1" customWidth="1"/>
    <col min="9745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15.28515625" style="1" customWidth="1"/>
    <col min="9995" max="9995" width="14.5703125" style="1" customWidth="1"/>
    <col min="9996" max="9996" width="15" style="1" customWidth="1"/>
    <col min="9997" max="9997" width="14.5703125" style="1" customWidth="1"/>
    <col min="9998" max="9999" width="14.28515625" style="1" customWidth="1"/>
    <col min="10000" max="10000" width="14.140625" style="1" customWidth="1"/>
    <col min="10001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15.28515625" style="1" customWidth="1"/>
    <col min="10251" max="10251" width="14.5703125" style="1" customWidth="1"/>
    <col min="10252" max="10252" width="15" style="1" customWidth="1"/>
    <col min="10253" max="10253" width="14.5703125" style="1" customWidth="1"/>
    <col min="10254" max="10255" width="14.28515625" style="1" customWidth="1"/>
    <col min="10256" max="10256" width="14.140625" style="1" customWidth="1"/>
    <col min="10257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15.28515625" style="1" customWidth="1"/>
    <col min="10507" max="10507" width="14.5703125" style="1" customWidth="1"/>
    <col min="10508" max="10508" width="15" style="1" customWidth="1"/>
    <col min="10509" max="10509" width="14.5703125" style="1" customWidth="1"/>
    <col min="10510" max="10511" width="14.28515625" style="1" customWidth="1"/>
    <col min="10512" max="10512" width="14.140625" style="1" customWidth="1"/>
    <col min="10513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15.28515625" style="1" customWidth="1"/>
    <col min="10763" max="10763" width="14.5703125" style="1" customWidth="1"/>
    <col min="10764" max="10764" width="15" style="1" customWidth="1"/>
    <col min="10765" max="10765" width="14.5703125" style="1" customWidth="1"/>
    <col min="10766" max="10767" width="14.28515625" style="1" customWidth="1"/>
    <col min="10768" max="10768" width="14.140625" style="1" customWidth="1"/>
    <col min="10769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15.28515625" style="1" customWidth="1"/>
    <col min="11019" max="11019" width="14.5703125" style="1" customWidth="1"/>
    <col min="11020" max="11020" width="15" style="1" customWidth="1"/>
    <col min="11021" max="11021" width="14.5703125" style="1" customWidth="1"/>
    <col min="11022" max="11023" width="14.28515625" style="1" customWidth="1"/>
    <col min="11024" max="11024" width="14.140625" style="1" customWidth="1"/>
    <col min="11025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15.28515625" style="1" customWidth="1"/>
    <col min="11275" max="11275" width="14.5703125" style="1" customWidth="1"/>
    <col min="11276" max="11276" width="15" style="1" customWidth="1"/>
    <col min="11277" max="11277" width="14.5703125" style="1" customWidth="1"/>
    <col min="11278" max="11279" width="14.28515625" style="1" customWidth="1"/>
    <col min="11280" max="11280" width="14.140625" style="1" customWidth="1"/>
    <col min="11281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15.28515625" style="1" customWidth="1"/>
    <col min="11531" max="11531" width="14.5703125" style="1" customWidth="1"/>
    <col min="11532" max="11532" width="15" style="1" customWidth="1"/>
    <col min="11533" max="11533" width="14.5703125" style="1" customWidth="1"/>
    <col min="11534" max="11535" width="14.28515625" style="1" customWidth="1"/>
    <col min="11536" max="11536" width="14.140625" style="1" customWidth="1"/>
    <col min="11537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15.28515625" style="1" customWidth="1"/>
    <col min="11787" max="11787" width="14.5703125" style="1" customWidth="1"/>
    <col min="11788" max="11788" width="15" style="1" customWidth="1"/>
    <col min="11789" max="11789" width="14.5703125" style="1" customWidth="1"/>
    <col min="11790" max="11791" width="14.28515625" style="1" customWidth="1"/>
    <col min="11792" max="11792" width="14.140625" style="1" customWidth="1"/>
    <col min="11793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15.28515625" style="1" customWidth="1"/>
    <col min="12043" max="12043" width="14.5703125" style="1" customWidth="1"/>
    <col min="12044" max="12044" width="15" style="1" customWidth="1"/>
    <col min="12045" max="12045" width="14.5703125" style="1" customWidth="1"/>
    <col min="12046" max="12047" width="14.28515625" style="1" customWidth="1"/>
    <col min="12048" max="12048" width="14.140625" style="1" customWidth="1"/>
    <col min="12049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15.28515625" style="1" customWidth="1"/>
    <col min="12299" max="12299" width="14.5703125" style="1" customWidth="1"/>
    <col min="12300" max="12300" width="15" style="1" customWidth="1"/>
    <col min="12301" max="12301" width="14.5703125" style="1" customWidth="1"/>
    <col min="12302" max="12303" width="14.28515625" style="1" customWidth="1"/>
    <col min="12304" max="12304" width="14.140625" style="1" customWidth="1"/>
    <col min="12305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15.28515625" style="1" customWidth="1"/>
    <col min="12555" max="12555" width="14.5703125" style="1" customWidth="1"/>
    <col min="12556" max="12556" width="15" style="1" customWidth="1"/>
    <col min="12557" max="12557" width="14.5703125" style="1" customWidth="1"/>
    <col min="12558" max="12559" width="14.28515625" style="1" customWidth="1"/>
    <col min="12560" max="12560" width="14.140625" style="1" customWidth="1"/>
    <col min="12561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15.28515625" style="1" customWidth="1"/>
    <col min="12811" max="12811" width="14.5703125" style="1" customWidth="1"/>
    <col min="12812" max="12812" width="15" style="1" customWidth="1"/>
    <col min="12813" max="12813" width="14.5703125" style="1" customWidth="1"/>
    <col min="12814" max="12815" width="14.28515625" style="1" customWidth="1"/>
    <col min="12816" max="12816" width="14.140625" style="1" customWidth="1"/>
    <col min="12817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15.28515625" style="1" customWidth="1"/>
    <col min="13067" max="13067" width="14.5703125" style="1" customWidth="1"/>
    <col min="13068" max="13068" width="15" style="1" customWidth="1"/>
    <col min="13069" max="13069" width="14.5703125" style="1" customWidth="1"/>
    <col min="13070" max="13071" width="14.28515625" style="1" customWidth="1"/>
    <col min="13072" max="13072" width="14.140625" style="1" customWidth="1"/>
    <col min="13073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15.28515625" style="1" customWidth="1"/>
    <col min="13323" max="13323" width="14.5703125" style="1" customWidth="1"/>
    <col min="13324" max="13324" width="15" style="1" customWidth="1"/>
    <col min="13325" max="13325" width="14.5703125" style="1" customWidth="1"/>
    <col min="13326" max="13327" width="14.28515625" style="1" customWidth="1"/>
    <col min="13328" max="13328" width="14.140625" style="1" customWidth="1"/>
    <col min="13329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15.28515625" style="1" customWidth="1"/>
    <col min="13579" max="13579" width="14.5703125" style="1" customWidth="1"/>
    <col min="13580" max="13580" width="15" style="1" customWidth="1"/>
    <col min="13581" max="13581" width="14.5703125" style="1" customWidth="1"/>
    <col min="13582" max="13583" width="14.28515625" style="1" customWidth="1"/>
    <col min="13584" max="13584" width="14.140625" style="1" customWidth="1"/>
    <col min="13585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15.28515625" style="1" customWidth="1"/>
    <col min="13835" max="13835" width="14.5703125" style="1" customWidth="1"/>
    <col min="13836" max="13836" width="15" style="1" customWidth="1"/>
    <col min="13837" max="13837" width="14.5703125" style="1" customWidth="1"/>
    <col min="13838" max="13839" width="14.28515625" style="1" customWidth="1"/>
    <col min="13840" max="13840" width="14.140625" style="1" customWidth="1"/>
    <col min="13841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15.28515625" style="1" customWidth="1"/>
    <col min="14091" max="14091" width="14.5703125" style="1" customWidth="1"/>
    <col min="14092" max="14092" width="15" style="1" customWidth="1"/>
    <col min="14093" max="14093" width="14.5703125" style="1" customWidth="1"/>
    <col min="14094" max="14095" width="14.28515625" style="1" customWidth="1"/>
    <col min="14096" max="14096" width="14.140625" style="1" customWidth="1"/>
    <col min="14097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15.28515625" style="1" customWidth="1"/>
    <col min="14347" max="14347" width="14.5703125" style="1" customWidth="1"/>
    <col min="14348" max="14348" width="15" style="1" customWidth="1"/>
    <col min="14349" max="14349" width="14.5703125" style="1" customWidth="1"/>
    <col min="14350" max="14351" width="14.28515625" style="1" customWidth="1"/>
    <col min="14352" max="14352" width="14.140625" style="1" customWidth="1"/>
    <col min="14353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15.28515625" style="1" customWidth="1"/>
    <col min="14603" max="14603" width="14.5703125" style="1" customWidth="1"/>
    <col min="14604" max="14604" width="15" style="1" customWidth="1"/>
    <col min="14605" max="14605" width="14.5703125" style="1" customWidth="1"/>
    <col min="14606" max="14607" width="14.28515625" style="1" customWidth="1"/>
    <col min="14608" max="14608" width="14.140625" style="1" customWidth="1"/>
    <col min="14609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15.28515625" style="1" customWidth="1"/>
    <col min="14859" max="14859" width="14.5703125" style="1" customWidth="1"/>
    <col min="14860" max="14860" width="15" style="1" customWidth="1"/>
    <col min="14861" max="14861" width="14.5703125" style="1" customWidth="1"/>
    <col min="14862" max="14863" width="14.28515625" style="1" customWidth="1"/>
    <col min="14864" max="14864" width="14.140625" style="1" customWidth="1"/>
    <col min="14865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15.28515625" style="1" customWidth="1"/>
    <col min="15115" max="15115" width="14.5703125" style="1" customWidth="1"/>
    <col min="15116" max="15116" width="15" style="1" customWidth="1"/>
    <col min="15117" max="15117" width="14.5703125" style="1" customWidth="1"/>
    <col min="15118" max="15119" width="14.28515625" style="1" customWidth="1"/>
    <col min="15120" max="15120" width="14.140625" style="1" customWidth="1"/>
    <col min="15121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15.28515625" style="1" customWidth="1"/>
    <col min="15371" max="15371" width="14.5703125" style="1" customWidth="1"/>
    <col min="15372" max="15372" width="15" style="1" customWidth="1"/>
    <col min="15373" max="15373" width="14.5703125" style="1" customWidth="1"/>
    <col min="15374" max="15375" width="14.28515625" style="1" customWidth="1"/>
    <col min="15376" max="15376" width="14.140625" style="1" customWidth="1"/>
    <col min="15377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15.28515625" style="1" customWidth="1"/>
    <col min="15627" max="15627" width="14.5703125" style="1" customWidth="1"/>
    <col min="15628" max="15628" width="15" style="1" customWidth="1"/>
    <col min="15629" max="15629" width="14.5703125" style="1" customWidth="1"/>
    <col min="15630" max="15631" width="14.28515625" style="1" customWidth="1"/>
    <col min="15632" max="15632" width="14.140625" style="1" customWidth="1"/>
    <col min="15633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15.28515625" style="1" customWidth="1"/>
    <col min="15883" max="15883" width="14.5703125" style="1" customWidth="1"/>
    <col min="15884" max="15884" width="15" style="1" customWidth="1"/>
    <col min="15885" max="15885" width="14.5703125" style="1" customWidth="1"/>
    <col min="15886" max="15887" width="14.28515625" style="1" customWidth="1"/>
    <col min="15888" max="15888" width="14.140625" style="1" customWidth="1"/>
    <col min="15889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15.28515625" style="1" customWidth="1"/>
    <col min="16139" max="16139" width="14.5703125" style="1" customWidth="1"/>
    <col min="16140" max="16140" width="15" style="1" customWidth="1"/>
    <col min="16141" max="16141" width="14.5703125" style="1" customWidth="1"/>
    <col min="16142" max="16143" width="14.28515625" style="1" customWidth="1"/>
    <col min="16144" max="16144" width="14.140625" style="1" customWidth="1"/>
    <col min="16145" max="16384" width="21.5703125" style="1"/>
  </cols>
  <sheetData>
    <row r="1" spans="2:16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2"/>
      <c r="P1" s="72"/>
    </row>
    <row r="2" spans="2:16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2"/>
    </row>
    <row r="3" spans="2:16" ht="15.75" x14ac:dyDescent="0.25">
      <c r="E3" s="77">
        <v>2015</v>
      </c>
      <c r="F3" s="3"/>
      <c r="G3" s="3"/>
      <c r="H3" s="7"/>
      <c r="I3" s="3"/>
      <c r="J3" s="7"/>
      <c r="K3" s="7"/>
      <c r="L3" s="7"/>
      <c r="M3" s="7"/>
      <c r="N3" s="7"/>
      <c r="O3" s="7"/>
    </row>
    <row r="4" spans="2:16" ht="16.5" thickBot="1" x14ac:dyDescent="0.3">
      <c r="F4" s="5"/>
      <c r="G4" s="9"/>
      <c r="H4" s="9"/>
      <c r="I4" s="9"/>
      <c r="J4" s="9"/>
      <c r="K4" s="9"/>
      <c r="L4" s="9"/>
      <c r="M4" s="9"/>
      <c r="P4" s="76" t="s">
        <v>54</v>
      </c>
    </row>
    <row r="5" spans="2:16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7</v>
      </c>
      <c r="K5" s="12" t="s">
        <v>8</v>
      </c>
      <c r="L5" s="12" t="s">
        <v>9</v>
      </c>
      <c r="M5" s="12" t="s">
        <v>10</v>
      </c>
      <c r="N5" s="12" t="s">
        <v>11</v>
      </c>
      <c r="O5" s="13" t="s">
        <v>59</v>
      </c>
      <c r="P5" s="63" t="s">
        <v>56</v>
      </c>
    </row>
    <row r="6" spans="2:16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18"/>
      <c r="P6" s="64"/>
    </row>
    <row r="7" spans="2:16" ht="15.75" x14ac:dyDescent="0.25">
      <c r="E7" s="20" t="s">
        <v>13</v>
      </c>
      <c r="F7" s="16">
        <f>G7+H7+I7+J7+K7+L7+M7+N7+O7+P7</f>
        <v>137229086</v>
      </c>
      <c r="G7" s="16">
        <v>1098296</v>
      </c>
      <c r="H7" s="16">
        <v>20280583</v>
      </c>
      <c r="I7" s="16">
        <v>3619</v>
      </c>
      <c r="J7" s="16">
        <v>55965552</v>
      </c>
      <c r="K7" s="16">
        <v>388472</v>
      </c>
      <c r="L7" s="16">
        <v>3120207</v>
      </c>
      <c r="M7" s="16">
        <v>43409001</v>
      </c>
      <c r="N7" s="16">
        <v>12522350</v>
      </c>
      <c r="O7" s="16">
        <v>406567</v>
      </c>
      <c r="P7" s="66">
        <v>34439</v>
      </c>
    </row>
    <row r="8" spans="2:16" ht="15.75" x14ac:dyDescent="0.25"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66"/>
    </row>
    <row r="9" spans="2:16" ht="15.75" x14ac:dyDescent="0.25">
      <c r="E9" s="20" t="s">
        <v>14</v>
      </c>
      <c r="F9" s="16">
        <f>G9+H9+I9+J9+K9+L9+M9+N9+O9+P9</f>
        <v>7764323</v>
      </c>
      <c r="G9" s="16">
        <v>88047</v>
      </c>
      <c r="H9" s="16">
        <v>1026951</v>
      </c>
      <c r="I9" s="16">
        <v>5987</v>
      </c>
      <c r="J9" s="16">
        <v>1911905</v>
      </c>
      <c r="K9" s="16">
        <v>4703085</v>
      </c>
      <c r="L9" s="16">
        <v>0</v>
      </c>
      <c r="M9" s="16">
        <v>0</v>
      </c>
      <c r="N9" s="16">
        <v>0</v>
      </c>
      <c r="O9" s="16">
        <v>0</v>
      </c>
      <c r="P9" s="66">
        <v>28348</v>
      </c>
    </row>
    <row r="10" spans="2:16" ht="15.75" x14ac:dyDescent="0.25"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66"/>
    </row>
    <row r="11" spans="2:16" ht="15.75" x14ac:dyDescent="0.25">
      <c r="B11" s="21"/>
      <c r="C11" s="21"/>
      <c r="D11" s="21"/>
      <c r="E11" s="20" t="s">
        <v>15</v>
      </c>
      <c r="F11" s="16">
        <f>G11+H11+I11+J11+K11+L11+M11+N11+O11+P11</f>
        <v>75914460</v>
      </c>
      <c r="G11" s="16">
        <v>509684</v>
      </c>
      <c r="H11" s="16">
        <v>8735033</v>
      </c>
      <c r="I11" s="16">
        <v>0</v>
      </c>
      <c r="J11" s="16">
        <v>24371917</v>
      </c>
      <c r="K11" s="16">
        <v>1702949</v>
      </c>
      <c r="L11" s="16">
        <v>728340</v>
      </c>
      <c r="M11" s="16">
        <v>34596060</v>
      </c>
      <c r="N11" s="16">
        <v>5206637</v>
      </c>
      <c r="O11" s="16">
        <v>63840</v>
      </c>
      <c r="P11" s="66">
        <v>0</v>
      </c>
    </row>
    <row r="12" spans="2:16" ht="15.75" x14ac:dyDescent="0.25"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66"/>
    </row>
    <row r="13" spans="2:16" ht="15.75" x14ac:dyDescent="0.25">
      <c r="E13" s="20" t="s">
        <v>17</v>
      </c>
      <c r="F13" s="16">
        <f>G13+H13+I13+J13+K13+L13+M13+N13+O13+P13</f>
        <v>6148444</v>
      </c>
      <c r="G13" s="16">
        <v>9301</v>
      </c>
      <c r="H13" s="16">
        <v>592433</v>
      </c>
      <c r="I13" s="16">
        <v>0</v>
      </c>
      <c r="J13" s="16">
        <v>1943765</v>
      </c>
      <c r="K13" s="16">
        <v>3602945</v>
      </c>
      <c r="L13" s="16">
        <v>0</v>
      </c>
      <c r="M13" s="16">
        <v>0</v>
      </c>
      <c r="N13" s="16">
        <v>0</v>
      </c>
      <c r="O13" s="16">
        <v>0</v>
      </c>
      <c r="P13" s="66">
        <v>0</v>
      </c>
    </row>
    <row r="14" spans="2:16" ht="15.75" x14ac:dyDescent="0.25"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66"/>
    </row>
    <row r="15" spans="2:16" ht="15.75" x14ac:dyDescent="0.25">
      <c r="E15" s="20" t="s">
        <v>18</v>
      </c>
      <c r="F15" s="16">
        <f>G15+H15+I15+J15+K15+L15+M15+N15+O15+P15</f>
        <v>12726014</v>
      </c>
      <c r="G15" s="16">
        <v>30669</v>
      </c>
      <c r="H15" s="16">
        <v>1042812</v>
      </c>
      <c r="I15" s="16">
        <v>0</v>
      </c>
      <c r="J15" s="16">
        <v>5101009</v>
      </c>
      <c r="K15" s="16">
        <v>6183369</v>
      </c>
      <c r="L15" s="16">
        <v>368155</v>
      </c>
      <c r="M15" s="16">
        <v>0</v>
      </c>
      <c r="N15" s="16">
        <v>0</v>
      </c>
      <c r="O15" s="16">
        <v>0</v>
      </c>
      <c r="P15" s="66">
        <v>0</v>
      </c>
    </row>
    <row r="16" spans="2:16" ht="15.75" x14ac:dyDescent="0.25"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66"/>
    </row>
    <row r="17" spans="5:16" ht="15.75" x14ac:dyDescent="0.25">
      <c r="E17" s="20" t="s">
        <v>19</v>
      </c>
      <c r="F17" s="16">
        <f>G17+H17+I17+J17+K17+L17+M17+N17+O17+P17</f>
        <v>26131402</v>
      </c>
      <c r="G17" s="16">
        <v>87745</v>
      </c>
      <c r="H17" s="16">
        <v>2521490</v>
      </c>
      <c r="I17" s="16">
        <v>0</v>
      </c>
      <c r="J17" s="16">
        <v>9382831</v>
      </c>
      <c r="K17" s="16">
        <v>2889495</v>
      </c>
      <c r="L17" s="16">
        <v>380649</v>
      </c>
      <c r="M17" s="16">
        <v>7932751</v>
      </c>
      <c r="N17" s="16">
        <v>2900071</v>
      </c>
      <c r="O17" s="16">
        <v>20980</v>
      </c>
      <c r="P17" s="66">
        <v>15390</v>
      </c>
    </row>
    <row r="18" spans="5:16" ht="15.75" x14ac:dyDescent="0.25"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66"/>
    </row>
    <row r="19" spans="5:16" ht="15.75" x14ac:dyDescent="0.25">
      <c r="E19" s="20" t="s">
        <v>20</v>
      </c>
      <c r="F19" s="16">
        <f>G19+H19+I19+J19+K19+L19+M19+N19+O19+P19</f>
        <v>20149745</v>
      </c>
      <c r="G19" s="16">
        <v>59380</v>
      </c>
      <c r="H19" s="16">
        <v>2216451</v>
      </c>
      <c r="I19" s="16">
        <v>0</v>
      </c>
      <c r="J19" s="16">
        <v>7719551</v>
      </c>
      <c r="K19" s="16">
        <v>3254142</v>
      </c>
      <c r="L19" s="16">
        <v>774297</v>
      </c>
      <c r="M19" s="16">
        <v>6107684</v>
      </c>
      <c r="N19" s="16">
        <v>0</v>
      </c>
      <c r="O19" s="16">
        <v>18240</v>
      </c>
      <c r="P19" s="66">
        <v>0</v>
      </c>
    </row>
    <row r="20" spans="5:16" ht="15.75" x14ac:dyDescent="0.25"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66"/>
    </row>
    <row r="21" spans="5:16" ht="15.75" x14ac:dyDescent="0.25">
      <c r="E21" s="20" t="s">
        <v>21</v>
      </c>
      <c r="F21" s="16">
        <f>G21+H21+I21+J21+K21+L21+M21+N21+O21+P21</f>
        <v>4383572</v>
      </c>
      <c r="G21" s="16">
        <v>0</v>
      </c>
      <c r="H21" s="16">
        <v>560613</v>
      </c>
      <c r="I21" s="16">
        <v>0</v>
      </c>
      <c r="J21" s="16">
        <v>1718885</v>
      </c>
      <c r="K21" s="16">
        <v>2104074</v>
      </c>
      <c r="L21" s="16">
        <v>0</v>
      </c>
      <c r="M21" s="16">
        <v>0</v>
      </c>
      <c r="N21" s="16">
        <v>0</v>
      </c>
      <c r="O21" s="16">
        <v>0</v>
      </c>
      <c r="P21" s="66">
        <v>0</v>
      </c>
    </row>
    <row r="22" spans="5:16" ht="15.75" x14ac:dyDescent="0.25"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66"/>
    </row>
    <row r="23" spans="5:16" ht="15.75" x14ac:dyDescent="0.25">
      <c r="E23" s="20" t="s">
        <v>22</v>
      </c>
      <c r="F23" s="16">
        <f>G23+H23+I23+J23+K23+L23+M23+N23+O23+P23</f>
        <v>616988</v>
      </c>
      <c r="G23" s="16">
        <v>0</v>
      </c>
      <c r="H23" s="16">
        <v>25840</v>
      </c>
      <c r="I23" s="16">
        <v>0</v>
      </c>
      <c r="J23" s="16">
        <v>143262</v>
      </c>
      <c r="K23" s="16">
        <v>447886</v>
      </c>
      <c r="L23" s="16">
        <v>0</v>
      </c>
      <c r="M23" s="16">
        <v>0</v>
      </c>
      <c r="N23" s="16">
        <v>0</v>
      </c>
      <c r="O23" s="16">
        <v>0</v>
      </c>
      <c r="P23" s="66">
        <v>0</v>
      </c>
    </row>
    <row r="24" spans="5:16" ht="15.75" x14ac:dyDescent="0.25">
      <c r="E24" s="2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66"/>
    </row>
    <row r="25" spans="5:16" ht="15.75" x14ac:dyDescent="0.25">
      <c r="E25" s="65" t="s">
        <v>3</v>
      </c>
      <c r="F25" s="16">
        <f>F7+F9+F11+F13+F15+F17+F19+F21+F23</f>
        <v>291064034</v>
      </c>
      <c r="G25" s="16">
        <f t="shared" ref="G25:P25" si="0">G7+G9+G11+G13+G15+G17+G19+G21+G23</f>
        <v>1883122</v>
      </c>
      <c r="H25" s="16">
        <f t="shared" si="0"/>
        <v>37002206</v>
      </c>
      <c r="I25" s="16">
        <f t="shared" si="0"/>
        <v>9606</v>
      </c>
      <c r="J25" s="16">
        <f t="shared" si="0"/>
        <v>108258677</v>
      </c>
      <c r="K25" s="16">
        <f t="shared" si="0"/>
        <v>25276417</v>
      </c>
      <c r="L25" s="16">
        <f t="shared" si="0"/>
        <v>5371648</v>
      </c>
      <c r="M25" s="16">
        <f t="shared" si="0"/>
        <v>92045496</v>
      </c>
      <c r="N25" s="16">
        <f t="shared" si="0"/>
        <v>20629058</v>
      </c>
      <c r="O25" s="16">
        <f>O7+O9+O11+O13+O15+O17+O19+O21+O23</f>
        <v>509627</v>
      </c>
      <c r="P25" s="66">
        <f t="shared" si="0"/>
        <v>78177</v>
      </c>
    </row>
    <row r="26" spans="5:16" ht="16.5" thickBot="1" x14ac:dyDescent="0.3"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8"/>
      <c r="P26" s="67"/>
    </row>
    <row r="27" spans="5:16" ht="16.5" thickTop="1" x14ac:dyDescent="0.25"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7"/>
    </row>
    <row r="28" spans="5:16" ht="15.75" x14ac:dyDescent="0.25">
      <c r="E28" s="33" t="s">
        <v>23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</row>
    <row r="29" spans="5:16" ht="15.75" x14ac:dyDescent="0.25"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6" ht="15.75" x14ac:dyDescent="0.25">
      <c r="F30" s="34"/>
      <c r="G30" s="35"/>
      <c r="H30" s="35"/>
      <c r="I30" s="35"/>
      <c r="J30" s="35"/>
      <c r="K30" s="35"/>
      <c r="L30" s="35"/>
      <c r="M30" s="35"/>
      <c r="N30" s="35"/>
      <c r="O30" s="35"/>
    </row>
    <row r="31" spans="5:16" ht="15.75" x14ac:dyDescent="0.25">
      <c r="E31" s="2" t="s">
        <v>0</v>
      </c>
      <c r="F31" s="3"/>
      <c r="G31" s="3"/>
      <c r="H31" s="7"/>
      <c r="I31" s="3"/>
      <c r="J31" s="7"/>
      <c r="K31" s="7"/>
      <c r="L31" s="7"/>
      <c r="M31" s="7"/>
      <c r="N31" s="7"/>
      <c r="O31" s="7"/>
    </row>
    <row r="32" spans="5:16" ht="15.75" x14ac:dyDescent="0.25">
      <c r="F32" s="36"/>
      <c r="G32" s="37"/>
      <c r="H32" s="38"/>
      <c r="I32" s="38"/>
      <c r="J32" s="39" t="s">
        <v>1</v>
      </c>
      <c r="K32" s="38"/>
      <c r="L32" s="38"/>
      <c r="M32" s="38"/>
      <c r="N32" s="38"/>
      <c r="O32" s="38"/>
    </row>
    <row r="33" spans="5:16" ht="15.75" x14ac:dyDescent="0.25">
      <c r="E33" s="77">
        <v>2015</v>
      </c>
      <c r="F33" s="3"/>
      <c r="G33" s="3"/>
      <c r="H33" s="7"/>
      <c r="I33" s="3"/>
      <c r="J33" s="7"/>
      <c r="K33" s="7"/>
      <c r="L33" s="7"/>
      <c r="M33" s="7"/>
      <c r="N33" s="7"/>
      <c r="O33" s="7"/>
    </row>
    <row r="34" spans="5:16" ht="16.5" thickBot="1" x14ac:dyDescent="0.3">
      <c r="F34" s="36"/>
      <c r="G34" s="38"/>
      <c r="H34" s="38"/>
      <c r="I34" s="38"/>
      <c r="J34" s="38"/>
      <c r="K34" s="38"/>
      <c r="L34" s="38"/>
      <c r="M34" s="38"/>
      <c r="P34" s="76" t="s">
        <v>54</v>
      </c>
    </row>
    <row r="35" spans="5:16" ht="15.95" customHeight="1" thickTop="1" x14ac:dyDescent="0.25">
      <c r="E35" s="41" t="s">
        <v>24</v>
      </c>
      <c r="F35" s="42" t="s">
        <v>3</v>
      </c>
      <c r="G35" s="62" t="s">
        <v>43</v>
      </c>
      <c r="H35" s="62" t="s">
        <v>40</v>
      </c>
      <c r="I35" s="43" t="s">
        <v>6</v>
      </c>
      <c r="J35" s="43" t="s">
        <v>7</v>
      </c>
      <c r="K35" s="43" t="s">
        <v>8</v>
      </c>
      <c r="L35" s="43" t="s">
        <v>25</v>
      </c>
      <c r="M35" s="44" t="s">
        <v>10</v>
      </c>
      <c r="N35" s="12" t="s">
        <v>11</v>
      </c>
      <c r="O35" s="13" t="s">
        <v>59</v>
      </c>
      <c r="P35" s="63" t="s">
        <v>56</v>
      </c>
    </row>
    <row r="36" spans="5:16" ht="15.95" customHeight="1" x14ac:dyDescent="0.25">
      <c r="E36" s="45"/>
      <c r="F36" s="46"/>
      <c r="G36" s="46"/>
      <c r="H36" s="46"/>
      <c r="I36" s="46"/>
      <c r="J36" s="46"/>
      <c r="K36" s="46"/>
      <c r="L36" s="46"/>
      <c r="M36" s="78"/>
      <c r="N36" s="46"/>
      <c r="O36" s="78"/>
      <c r="P36" s="79"/>
    </row>
    <row r="37" spans="5:16" ht="15.95" customHeight="1" x14ac:dyDescent="0.25">
      <c r="E37" s="45" t="s">
        <v>26</v>
      </c>
      <c r="F37" s="49">
        <f>SUM(G37:P37)</f>
        <v>22578001</v>
      </c>
      <c r="G37" s="49">
        <v>122487</v>
      </c>
      <c r="H37" s="49">
        <v>2826949</v>
      </c>
      <c r="I37" s="49">
        <v>0</v>
      </c>
      <c r="J37" s="49">
        <v>7865989</v>
      </c>
      <c r="K37" s="49">
        <v>1554188</v>
      </c>
      <c r="L37" s="80">
        <v>407631</v>
      </c>
      <c r="M37" s="80">
        <v>8035554</v>
      </c>
      <c r="N37" s="49">
        <v>1706736</v>
      </c>
      <c r="O37" s="83">
        <v>58467</v>
      </c>
      <c r="P37" s="81"/>
    </row>
    <row r="38" spans="5:16" ht="15.95" customHeight="1" x14ac:dyDescent="0.25">
      <c r="E38" s="45" t="s">
        <v>27</v>
      </c>
      <c r="F38" s="49">
        <f>SUM(G38:P38)</f>
        <v>21728818</v>
      </c>
      <c r="G38" s="49">
        <v>176957</v>
      </c>
      <c r="H38" s="49">
        <v>2558158</v>
      </c>
      <c r="I38" s="49">
        <v>0</v>
      </c>
      <c r="J38" s="49">
        <v>7633662</v>
      </c>
      <c r="K38" s="49">
        <v>1508393</v>
      </c>
      <c r="L38" s="80">
        <v>417340</v>
      </c>
      <c r="M38" s="80">
        <v>7598647</v>
      </c>
      <c r="N38" s="49">
        <v>1713006</v>
      </c>
      <c r="O38" s="83">
        <v>106742</v>
      </c>
      <c r="P38" s="81">
        <v>15913</v>
      </c>
    </row>
    <row r="39" spans="5:16" ht="15.95" customHeight="1" x14ac:dyDescent="0.25">
      <c r="E39" s="45" t="s">
        <v>28</v>
      </c>
      <c r="F39" s="49">
        <f>SUM(G39:P39)</f>
        <v>23173351</v>
      </c>
      <c r="G39" s="49">
        <v>157904</v>
      </c>
      <c r="H39" s="49">
        <v>2810976</v>
      </c>
      <c r="I39" s="49">
        <v>0</v>
      </c>
      <c r="J39" s="49">
        <v>8387827</v>
      </c>
      <c r="K39" s="49">
        <v>1623508</v>
      </c>
      <c r="L39" s="80">
        <v>468911</v>
      </c>
      <c r="M39" s="80">
        <v>8028249</v>
      </c>
      <c r="N39" s="49">
        <v>1635901</v>
      </c>
      <c r="O39" s="83">
        <v>55161</v>
      </c>
      <c r="P39" s="81">
        <v>4914</v>
      </c>
    </row>
    <row r="40" spans="5:16" ht="15.95" customHeight="1" x14ac:dyDescent="0.25">
      <c r="E40" s="45"/>
      <c r="F40" s="49">
        <f t="shared" ref="F40:K40" si="1">F37+F38+F39</f>
        <v>67480170</v>
      </c>
      <c r="G40" s="49">
        <f t="shared" si="1"/>
        <v>457348</v>
      </c>
      <c r="H40" s="49">
        <f t="shared" si="1"/>
        <v>8196083</v>
      </c>
      <c r="I40" s="49">
        <f t="shared" si="1"/>
        <v>0</v>
      </c>
      <c r="J40" s="49">
        <f t="shared" si="1"/>
        <v>23887478</v>
      </c>
      <c r="K40" s="49">
        <f t="shared" si="1"/>
        <v>4686089</v>
      </c>
      <c r="L40" s="80">
        <f>SUM(L37:L39)</f>
        <v>1293882</v>
      </c>
      <c r="M40" s="80">
        <f>SUM(M37:M39)</f>
        <v>23662450</v>
      </c>
      <c r="N40" s="49">
        <f>N37+N38+N39</f>
        <v>5055643</v>
      </c>
      <c r="O40" s="49">
        <f>O37+O38+O39</f>
        <v>220370</v>
      </c>
      <c r="P40" s="81">
        <f>P37+P38+P39</f>
        <v>20827</v>
      </c>
    </row>
    <row r="41" spans="5:16" ht="15.95" customHeight="1" x14ac:dyDescent="0.25">
      <c r="E41" s="45" t="s">
        <v>29</v>
      </c>
      <c r="F41" s="49">
        <f>SUM(G41:P41)</f>
        <v>23592014</v>
      </c>
      <c r="G41" s="49">
        <v>188783</v>
      </c>
      <c r="H41" s="49">
        <v>2992642</v>
      </c>
      <c r="I41" s="49">
        <v>0</v>
      </c>
      <c r="J41" s="49">
        <v>9450310</v>
      </c>
      <c r="K41" s="49">
        <v>2281895</v>
      </c>
      <c r="L41" s="80">
        <v>452452</v>
      </c>
      <c r="M41" s="80">
        <v>6466531</v>
      </c>
      <c r="N41" s="49">
        <v>1721728</v>
      </c>
      <c r="O41" s="83">
        <v>36194</v>
      </c>
      <c r="P41" s="81">
        <v>1479</v>
      </c>
    </row>
    <row r="42" spans="5:16" ht="15.95" customHeight="1" x14ac:dyDescent="0.25">
      <c r="E42" s="45" t="s">
        <v>30</v>
      </c>
      <c r="F42" s="49">
        <f>SUM(G42:P42)</f>
        <v>22793859</v>
      </c>
      <c r="G42" s="49">
        <v>111006</v>
      </c>
      <c r="H42" s="49">
        <v>2989809</v>
      </c>
      <c r="I42" s="49">
        <v>0</v>
      </c>
      <c r="J42" s="49">
        <v>9409338</v>
      </c>
      <c r="K42" s="49">
        <v>2878602</v>
      </c>
      <c r="L42" s="80">
        <v>413856</v>
      </c>
      <c r="M42" s="80">
        <v>5189514</v>
      </c>
      <c r="N42" s="49">
        <v>1703222</v>
      </c>
      <c r="O42" s="83">
        <v>98512</v>
      </c>
      <c r="P42" s="81"/>
    </row>
    <row r="43" spans="5:16" ht="15.95" customHeight="1" x14ac:dyDescent="0.25">
      <c r="E43" s="45" t="s">
        <v>31</v>
      </c>
      <c r="F43" s="49">
        <f>SUM(G43:P43)</f>
        <v>26043608</v>
      </c>
      <c r="G43" s="49">
        <v>149434</v>
      </c>
      <c r="H43" s="49">
        <v>3258643</v>
      </c>
      <c r="I43" s="49">
        <v>0</v>
      </c>
      <c r="J43" s="49">
        <v>9673938</v>
      </c>
      <c r="K43" s="49">
        <v>3191801</v>
      </c>
      <c r="L43" s="80">
        <v>448623</v>
      </c>
      <c r="M43" s="80">
        <v>6464569</v>
      </c>
      <c r="N43" s="49">
        <v>2802948</v>
      </c>
      <c r="O43" s="83">
        <v>51491</v>
      </c>
      <c r="P43" s="81">
        <v>2161</v>
      </c>
    </row>
    <row r="44" spans="5:16" ht="15.95" customHeight="1" x14ac:dyDescent="0.25">
      <c r="E44" s="45"/>
      <c r="F44" s="49">
        <f t="shared" ref="F44:K44" si="2">F41+F42+F43</f>
        <v>72429481</v>
      </c>
      <c r="G44" s="49">
        <f t="shared" si="2"/>
        <v>449223</v>
      </c>
      <c r="H44" s="49">
        <f t="shared" si="2"/>
        <v>9241094</v>
      </c>
      <c r="I44" s="49">
        <f t="shared" si="2"/>
        <v>0</v>
      </c>
      <c r="J44" s="49">
        <f t="shared" si="2"/>
        <v>28533586</v>
      </c>
      <c r="K44" s="49">
        <f t="shared" si="2"/>
        <v>8352298</v>
      </c>
      <c r="L44" s="80">
        <f>SUM(L41:L43)</f>
        <v>1314931</v>
      </c>
      <c r="M44" s="80">
        <f>SUM(M41:M43)</f>
        <v>18120614</v>
      </c>
      <c r="N44" s="49">
        <f>N41+N42+N43</f>
        <v>6227898</v>
      </c>
      <c r="O44" s="49">
        <f>O41+O42+O43</f>
        <v>186197</v>
      </c>
      <c r="P44" s="81">
        <f>P41+P42+P43</f>
        <v>3640</v>
      </c>
    </row>
    <row r="45" spans="5:16" ht="15.95" customHeight="1" x14ac:dyDescent="0.25">
      <c r="E45" s="45" t="s">
        <v>32</v>
      </c>
      <c r="F45" s="49">
        <f>SUM(G45:P45)</f>
        <v>29997208</v>
      </c>
      <c r="G45" s="49">
        <v>168550</v>
      </c>
      <c r="H45" s="49">
        <v>3948884</v>
      </c>
      <c r="I45" s="49">
        <v>2902</v>
      </c>
      <c r="J45" s="49">
        <v>11156533</v>
      </c>
      <c r="K45" s="49">
        <v>3908266</v>
      </c>
      <c r="L45" s="80">
        <v>507239</v>
      </c>
      <c r="M45" s="80">
        <v>9240731</v>
      </c>
      <c r="N45" s="49">
        <v>958408</v>
      </c>
      <c r="O45" s="83">
        <v>81580</v>
      </c>
      <c r="P45" s="81">
        <v>24115</v>
      </c>
    </row>
    <row r="46" spans="5:16" ht="15.95" customHeight="1" x14ac:dyDescent="0.25">
      <c r="E46" s="45" t="s">
        <v>41</v>
      </c>
      <c r="F46" s="49">
        <f>SUM(G46:P46)</f>
        <v>26484735</v>
      </c>
      <c r="G46" s="49">
        <v>158654</v>
      </c>
      <c r="H46" s="49">
        <v>3469072</v>
      </c>
      <c r="I46" s="49">
        <v>0</v>
      </c>
      <c r="J46" s="49">
        <v>8949017</v>
      </c>
      <c r="K46" s="49">
        <v>2178903</v>
      </c>
      <c r="L46" s="80">
        <v>680769</v>
      </c>
      <c r="M46" s="80">
        <v>9508486</v>
      </c>
      <c r="N46" s="49">
        <v>1513484</v>
      </c>
      <c r="O46" s="83">
        <v>21480</v>
      </c>
      <c r="P46" s="81">
        <v>4870</v>
      </c>
    </row>
    <row r="47" spans="5:16" ht="15.95" customHeight="1" x14ac:dyDescent="0.25">
      <c r="E47" s="45" t="s">
        <v>34</v>
      </c>
      <c r="F47" s="49">
        <f>SUM(G47:P47)</f>
        <v>25155344</v>
      </c>
      <c r="G47" s="49">
        <v>165456</v>
      </c>
      <c r="H47" s="49">
        <v>3272136</v>
      </c>
      <c r="I47" s="49">
        <v>0</v>
      </c>
      <c r="J47" s="49">
        <v>9140290</v>
      </c>
      <c r="K47" s="49">
        <v>1637968</v>
      </c>
      <c r="L47" s="80">
        <v>382961</v>
      </c>
      <c r="M47" s="80">
        <v>8835511</v>
      </c>
      <c r="N47" s="49">
        <v>1709294</v>
      </c>
      <c r="O47" s="83">
        <v>0</v>
      </c>
      <c r="P47" s="81">
        <v>11728</v>
      </c>
    </row>
    <row r="48" spans="5:16" ht="15.95" customHeight="1" x14ac:dyDescent="0.25">
      <c r="E48" s="45"/>
      <c r="F48" s="49">
        <f t="shared" ref="F48:O48" si="3">F45+F46+F47</f>
        <v>81637287</v>
      </c>
      <c r="G48" s="49">
        <f t="shared" si="3"/>
        <v>492660</v>
      </c>
      <c r="H48" s="49">
        <f t="shared" si="3"/>
        <v>10690092</v>
      </c>
      <c r="I48" s="49">
        <f t="shared" si="3"/>
        <v>2902</v>
      </c>
      <c r="J48" s="49">
        <f t="shared" si="3"/>
        <v>29245840</v>
      </c>
      <c r="K48" s="49">
        <f t="shared" si="3"/>
        <v>7725137</v>
      </c>
      <c r="L48" s="80">
        <f>SUM(L45:L47)</f>
        <v>1570969</v>
      </c>
      <c r="M48" s="80">
        <f>SUM(M45:M47)</f>
        <v>27584728</v>
      </c>
      <c r="N48" s="49">
        <f t="shared" si="3"/>
        <v>4181186</v>
      </c>
      <c r="O48" s="49">
        <f t="shared" si="3"/>
        <v>103060</v>
      </c>
      <c r="P48" s="81">
        <f>P45+P46+P47</f>
        <v>40713</v>
      </c>
    </row>
    <row r="49" spans="5:16" ht="15.95" customHeight="1" x14ac:dyDescent="0.25">
      <c r="E49" s="45" t="s">
        <v>35</v>
      </c>
      <c r="F49" s="49">
        <f>SUM(G49:P49)</f>
        <v>23417905</v>
      </c>
      <c r="G49" s="49">
        <v>132858</v>
      </c>
      <c r="H49" s="49">
        <v>3048676</v>
      </c>
      <c r="I49" s="49">
        <v>417</v>
      </c>
      <c r="J49" s="49">
        <v>9156163</v>
      </c>
      <c r="K49" s="49">
        <v>1382167</v>
      </c>
      <c r="L49" s="80">
        <v>343223</v>
      </c>
      <c r="M49" s="80">
        <v>7658162</v>
      </c>
      <c r="N49" s="49">
        <v>1696239</v>
      </c>
      <c r="O49" s="83">
        <v>0</v>
      </c>
      <c r="P49" s="81">
        <v>0</v>
      </c>
    </row>
    <row r="50" spans="5:16" ht="15.95" customHeight="1" x14ac:dyDescent="0.25">
      <c r="E50" s="45" t="s">
        <v>36</v>
      </c>
      <c r="F50" s="49">
        <f>SUM(G50:P50)</f>
        <v>22060557</v>
      </c>
      <c r="G50" s="49">
        <v>201868</v>
      </c>
      <c r="H50" s="49">
        <v>2830114</v>
      </c>
      <c r="I50" s="49">
        <v>1993</v>
      </c>
      <c r="J50" s="49">
        <v>8392025</v>
      </c>
      <c r="K50" s="49">
        <v>1562148</v>
      </c>
      <c r="L50" s="80">
        <v>469011</v>
      </c>
      <c r="M50" s="80">
        <v>6836421</v>
      </c>
      <c r="N50" s="49">
        <v>1762206</v>
      </c>
      <c r="O50" s="83">
        <v>0</v>
      </c>
      <c r="P50" s="81">
        <v>4771</v>
      </c>
    </row>
    <row r="51" spans="5:16" ht="15.95" customHeight="1" x14ac:dyDescent="0.25">
      <c r="E51" s="45" t="s">
        <v>37</v>
      </c>
      <c r="F51" s="49">
        <f>SUM(G51:P51)</f>
        <v>24038634</v>
      </c>
      <c r="G51" s="49">
        <v>149165</v>
      </c>
      <c r="H51" s="49">
        <v>2996147</v>
      </c>
      <c r="I51" s="49">
        <v>4294</v>
      </c>
      <c r="J51" s="49">
        <v>9043585</v>
      </c>
      <c r="K51" s="49">
        <v>1568578</v>
      </c>
      <c r="L51" s="80">
        <v>379632</v>
      </c>
      <c r="M51" s="80">
        <v>8183121</v>
      </c>
      <c r="N51" s="49">
        <v>1705886</v>
      </c>
      <c r="O51" s="83">
        <v>0</v>
      </c>
      <c r="P51" s="81">
        <v>8226</v>
      </c>
    </row>
    <row r="52" spans="5:16" ht="15.95" customHeight="1" x14ac:dyDescent="0.25">
      <c r="E52" s="45"/>
      <c r="F52" s="49">
        <f>F49+F50+F51</f>
        <v>69517096</v>
      </c>
      <c r="G52" s="49">
        <v>483891</v>
      </c>
      <c r="H52" s="49">
        <v>8874937</v>
      </c>
      <c r="I52" s="49">
        <v>6704</v>
      </c>
      <c r="J52" s="49">
        <v>26591773</v>
      </c>
      <c r="K52" s="49">
        <v>4512893</v>
      </c>
      <c r="L52" s="80">
        <v>1191866</v>
      </c>
      <c r="M52" s="82">
        <v>22677704</v>
      </c>
      <c r="N52" s="49">
        <v>5164331</v>
      </c>
      <c r="O52" s="49">
        <v>0</v>
      </c>
      <c r="P52" s="81">
        <v>12997</v>
      </c>
    </row>
    <row r="53" spans="5:16" ht="15.95" customHeight="1" x14ac:dyDescent="0.25">
      <c r="E53" s="70" t="s">
        <v>38</v>
      </c>
      <c r="F53" s="49">
        <f t="shared" ref="F53:O53" si="4">F37+F38+F39+F41+F42+F43+F45+F46+F47+F49+F50+F51</f>
        <v>291064034</v>
      </c>
      <c r="G53" s="49">
        <f t="shared" si="4"/>
        <v>1883122</v>
      </c>
      <c r="H53" s="49">
        <f t="shared" si="4"/>
        <v>37002206</v>
      </c>
      <c r="I53" s="49">
        <f t="shared" si="4"/>
        <v>9606</v>
      </c>
      <c r="J53" s="49">
        <f t="shared" si="4"/>
        <v>108258677</v>
      </c>
      <c r="K53" s="49">
        <f t="shared" si="4"/>
        <v>25276417</v>
      </c>
      <c r="L53" s="49">
        <f t="shared" si="4"/>
        <v>5371648</v>
      </c>
      <c r="M53" s="83">
        <f t="shared" si="4"/>
        <v>92045496</v>
      </c>
      <c r="N53" s="49">
        <f t="shared" si="4"/>
        <v>20629058</v>
      </c>
      <c r="O53" s="49">
        <f t="shared" si="4"/>
        <v>509627</v>
      </c>
      <c r="P53" s="81">
        <f>P37+P38+P39+P41+P42+P43+P45+P46+P47+P49+P50+P51</f>
        <v>78177</v>
      </c>
    </row>
    <row r="54" spans="5:16" ht="15.95" customHeight="1" thickBot="1" x14ac:dyDescent="0.3">
      <c r="E54" s="58"/>
      <c r="F54" s="26"/>
      <c r="G54" s="27"/>
      <c r="H54" s="27"/>
      <c r="I54" s="27"/>
      <c r="J54" s="27"/>
      <c r="K54" s="27"/>
      <c r="L54" s="27"/>
      <c r="M54" s="28"/>
      <c r="N54" s="27"/>
      <c r="O54" s="28"/>
      <c r="P54" s="67"/>
    </row>
    <row r="55" spans="5:16" ht="16.5" thickTop="1" x14ac:dyDescent="0.25">
      <c r="F55" s="59"/>
      <c r="G55" s="60"/>
      <c r="H55" s="60"/>
      <c r="I55" s="60"/>
      <c r="J55" s="60"/>
      <c r="K55" s="60"/>
      <c r="L55" s="60"/>
      <c r="M55" s="60"/>
      <c r="N55" s="60"/>
      <c r="O55" s="60"/>
      <c r="P55" s="37"/>
    </row>
    <row r="56" spans="5:16" ht="15.75" x14ac:dyDescent="0.25">
      <c r="E56" s="33" t="s">
        <v>23</v>
      </c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37"/>
    </row>
    <row r="57" spans="5:16" ht="15.75" x14ac:dyDescent="0.25">
      <c r="E57" s="61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37"/>
    </row>
    <row r="58" spans="5:16" ht="15.75" x14ac:dyDescent="0.25">
      <c r="F58" s="59"/>
      <c r="G58" s="60"/>
      <c r="H58" s="60"/>
      <c r="I58" s="60"/>
      <c r="J58" s="60"/>
      <c r="K58" s="60"/>
      <c r="L58" s="60"/>
      <c r="M58" s="60"/>
      <c r="N58" s="60"/>
      <c r="O58" s="60"/>
    </row>
    <row r="59" spans="5:16" ht="15.75" x14ac:dyDescent="0.25">
      <c r="F59" s="59"/>
      <c r="G59" s="60"/>
      <c r="H59" s="60"/>
      <c r="I59" s="60"/>
      <c r="J59" s="60"/>
      <c r="K59" s="60"/>
      <c r="L59" s="60"/>
      <c r="M59" s="60"/>
      <c r="N59" s="60"/>
      <c r="O59" s="60"/>
    </row>
    <row r="60" spans="5:16" ht="15.75" x14ac:dyDescent="0.25">
      <c r="F60" s="59"/>
      <c r="G60" s="60"/>
      <c r="H60" s="60"/>
      <c r="I60" s="60"/>
      <c r="J60" s="60"/>
      <c r="K60" s="60"/>
      <c r="L60" s="60"/>
      <c r="M60" s="60"/>
      <c r="N60" s="60"/>
      <c r="O60" s="60"/>
    </row>
    <row r="61" spans="5:16" ht="15.75" x14ac:dyDescent="0.25">
      <c r="F61" s="59"/>
      <c r="G61" s="60"/>
      <c r="H61" s="60"/>
      <c r="I61" s="60"/>
      <c r="J61" s="60"/>
      <c r="K61" s="60"/>
      <c r="L61" s="60"/>
      <c r="M61" s="60"/>
      <c r="N61" s="60"/>
      <c r="O61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D1" transitionEvaluation="1"/>
  <dimension ref="A1:Q61"/>
  <sheetViews>
    <sheetView showGridLines="0" topLeftCell="D1" workbookViewId="0">
      <selection activeCell="F2" sqref="F2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15.28515625" style="1" customWidth="1"/>
    <col min="11" max="11" width="21.140625" style="1" bestFit="1" customWidth="1"/>
    <col min="12" max="12" width="15" style="1" customWidth="1"/>
    <col min="13" max="13" width="14.5703125" style="1" customWidth="1"/>
    <col min="14" max="15" width="14.28515625" style="1" customWidth="1"/>
    <col min="16" max="17" width="14.140625" style="1" customWidth="1"/>
    <col min="18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15.28515625" style="1" customWidth="1"/>
    <col min="267" max="267" width="21.140625" style="1" bestFit="1" customWidth="1"/>
    <col min="268" max="268" width="15" style="1" customWidth="1"/>
    <col min="269" max="269" width="14.5703125" style="1" customWidth="1"/>
    <col min="270" max="271" width="14.28515625" style="1" customWidth="1"/>
    <col min="272" max="273" width="14.140625" style="1" customWidth="1"/>
    <col min="274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15.28515625" style="1" customWidth="1"/>
    <col min="523" max="523" width="21.140625" style="1" bestFit="1" customWidth="1"/>
    <col min="524" max="524" width="15" style="1" customWidth="1"/>
    <col min="525" max="525" width="14.5703125" style="1" customWidth="1"/>
    <col min="526" max="527" width="14.28515625" style="1" customWidth="1"/>
    <col min="528" max="529" width="14.140625" style="1" customWidth="1"/>
    <col min="530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15.28515625" style="1" customWidth="1"/>
    <col min="779" max="779" width="21.140625" style="1" bestFit="1" customWidth="1"/>
    <col min="780" max="780" width="15" style="1" customWidth="1"/>
    <col min="781" max="781" width="14.5703125" style="1" customWidth="1"/>
    <col min="782" max="783" width="14.28515625" style="1" customWidth="1"/>
    <col min="784" max="785" width="14.140625" style="1" customWidth="1"/>
    <col min="786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15.28515625" style="1" customWidth="1"/>
    <col min="1035" max="1035" width="21.140625" style="1" bestFit="1" customWidth="1"/>
    <col min="1036" max="1036" width="15" style="1" customWidth="1"/>
    <col min="1037" max="1037" width="14.5703125" style="1" customWidth="1"/>
    <col min="1038" max="1039" width="14.28515625" style="1" customWidth="1"/>
    <col min="1040" max="1041" width="14.140625" style="1" customWidth="1"/>
    <col min="1042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15.28515625" style="1" customWidth="1"/>
    <col min="1291" max="1291" width="21.140625" style="1" bestFit="1" customWidth="1"/>
    <col min="1292" max="1292" width="15" style="1" customWidth="1"/>
    <col min="1293" max="1293" width="14.5703125" style="1" customWidth="1"/>
    <col min="1294" max="1295" width="14.28515625" style="1" customWidth="1"/>
    <col min="1296" max="1297" width="14.140625" style="1" customWidth="1"/>
    <col min="1298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15.28515625" style="1" customWidth="1"/>
    <col min="1547" max="1547" width="21.140625" style="1" bestFit="1" customWidth="1"/>
    <col min="1548" max="1548" width="15" style="1" customWidth="1"/>
    <col min="1549" max="1549" width="14.5703125" style="1" customWidth="1"/>
    <col min="1550" max="1551" width="14.28515625" style="1" customWidth="1"/>
    <col min="1552" max="1553" width="14.140625" style="1" customWidth="1"/>
    <col min="1554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15.28515625" style="1" customWidth="1"/>
    <col min="1803" max="1803" width="21.140625" style="1" bestFit="1" customWidth="1"/>
    <col min="1804" max="1804" width="15" style="1" customWidth="1"/>
    <col min="1805" max="1805" width="14.5703125" style="1" customWidth="1"/>
    <col min="1806" max="1807" width="14.28515625" style="1" customWidth="1"/>
    <col min="1808" max="1809" width="14.140625" style="1" customWidth="1"/>
    <col min="1810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15.28515625" style="1" customWidth="1"/>
    <col min="2059" max="2059" width="21.140625" style="1" bestFit="1" customWidth="1"/>
    <col min="2060" max="2060" width="15" style="1" customWidth="1"/>
    <col min="2061" max="2061" width="14.5703125" style="1" customWidth="1"/>
    <col min="2062" max="2063" width="14.28515625" style="1" customWidth="1"/>
    <col min="2064" max="2065" width="14.140625" style="1" customWidth="1"/>
    <col min="2066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15.28515625" style="1" customWidth="1"/>
    <col min="2315" max="2315" width="21.140625" style="1" bestFit="1" customWidth="1"/>
    <col min="2316" max="2316" width="15" style="1" customWidth="1"/>
    <col min="2317" max="2317" width="14.5703125" style="1" customWidth="1"/>
    <col min="2318" max="2319" width="14.28515625" style="1" customWidth="1"/>
    <col min="2320" max="2321" width="14.140625" style="1" customWidth="1"/>
    <col min="2322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15.28515625" style="1" customWidth="1"/>
    <col min="2571" max="2571" width="21.140625" style="1" bestFit="1" customWidth="1"/>
    <col min="2572" max="2572" width="15" style="1" customWidth="1"/>
    <col min="2573" max="2573" width="14.5703125" style="1" customWidth="1"/>
    <col min="2574" max="2575" width="14.28515625" style="1" customWidth="1"/>
    <col min="2576" max="2577" width="14.140625" style="1" customWidth="1"/>
    <col min="2578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15.28515625" style="1" customWidth="1"/>
    <col min="2827" max="2827" width="21.140625" style="1" bestFit="1" customWidth="1"/>
    <col min="2828" max="2828" width="15" style="1" customWidth="1"/>
    <col min="2829" max="2829" width="14.5703125" style="1" customWidth="1"/>
    <col min="2830" max="2831" width="14.28515625" style="1" customWidth="1"/>
    <col min="2832" max="2833" width="14.140625" style="1" customWidth="1"/>
    <col min="2834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15.28515625" style="1" customWidth="1"/>
    <col min="3083" max="3083" width="21.140625" style="1" bestFit="1" customWidth="1"/>
    <col min="3084" max="3084" width="15" style="1" customWidth="1"/>
    <col min="3085" max="3085" width="14.5703125" style="1" customWidth="1"/>
    <col min="3086" max="3087" width="14.28515625" style="1" customWidth="1"/>
    <col min="3088" max="3089" width="14.140625" style="1" customWidth="1"/>
    <col min="3090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15.28515625" style="1" customWidth="1"/>
    <col min="3339" max="3339" width="21.140625" style="1" bestFit="1" customWidth="1"/>
    <col min="3340" max="3340" width="15" style="1" customWidth="1"/>
    <col min="3341" max="3341" width="14.5703125" style="1" customWidth="1"/>
    <col min="3342" max="3343" width="14.28515625" style="1" customWidth="1"/>
    <col min="3344" max="3345" width="14.140625" style="1" customWidth="1"/>
    <col min="3346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15.28515625" style="1" customWidth="1"/>
    <col min="3595" max="3595" width="21.140625" style="1" bestFit="1" customWidth="1"/>
    <col min="3596" max="3596" width="15" style="1" customWidth="1"/>
    <col min="3597" max="3597" width="14.5703125" style="1" customWidth="1"/>
    <col min="3598" max="3599" width="14.28515625" style="1" customWidth="1"/>
    <col min="3600" max="3601" width="14.140625" style="1" customWidth="1"/>
    <col min="3602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15.28515625" style="1" customWidth="1"/>
    <col min="3851" max="3851" width="21.140625" style="1" bestFit="1" customWidth="1"/>
    <col min="3852" max="3852" width="15" style="1" customWidth="1"/>
    <col min="3853" max="3853" width="14.5703125" style="1" customWidth="1"/>
    <col min="3854" max="3855" width="14.28515625" style="1" customWidth="1"/>
    <col min="3856" max="3857" width="14.140625" style="1" customWidth="1"/>
    <col min="3858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15.28515625" style="1" customWidth="1"/>
    <col min="4107" max="4107" width="21.140625" style="1" bestFit="1" customWidth="1"/>
    <col min="4108" max="4108" width="15" style="1" customWidth="1"/>
    <col min="4109" max="4109" width="14.5703125" style="1" customWidth="1"/>
    <col min="4110" max="4111" width="14.28515625" style="1" customWidth="1"/>
    <col min="4112" max="4113" width="14.140625" style="1" customWidth="1"/>
    <col min="4114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15.28515625" style="1" customWidth="1"/>
    <col min="4363" max="4363" width="21.140625" style="1" bestFit="1" customWidth="1"/>
    <col min="4364" max="4364" width="15" style="1" customWidth="1"/>
    <col min="4365" max="4365" width="14.5703125" style="1" customWidth="1"/>
    <col min="4366" max="4367" width="14.28515625" style="1" customWidth="1"/>
    <col min="4368" max="4369" width="14.140625" style="1" customWidth="1"/>
    <col min="4370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15.28515625" style="1" customWidth="1"/>
    <col min="4619" max="4619" width="21.140625" style="1" bestFit="1" customWidth="1"/>
    <col min="4620" max="4620" width="15" style="1" customWidth="1"/>
    <col min="4621" max="4621" width="14.5703125" style="1" customWidth="1"/>
    <col min="4622" max="4623" width="14.28515625" style="1" customWidth="1"/>
    <col min="4624" max="4625" width="14.140625" style="1" customWidth="1"/>
    <col min="4626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15.28515625" style="1" customWidth="1"/>
    <col min="4875" max="4875" width="21.140625" style="1" bestFit="1" customWidth="1"/>
    <col min="4876" max="4876" width="15" style="1" customWidth="1"/>
    <col min="4877" max="4877" width="14.5703125" style="1" customWidth="1"/>
    <col min="4878" max="4879" width="14.28515625" style="1" customWidth="1"/>
    <col min="4880" max="4881" width="14.140625" style="1" customWidth="1"/>
    <col min="4882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15.28515625" style="1" customWidth="1"/>
    <col min="5131" max="5131" width="21.140625" style="1" bestFit="1" customWidth="1"/>
    <col min="5132" max="5132" width="15" style="1" customWidth="1"/>
    <col min="5133" max="5133" width="14.5703125" style="1" customWidth="1"/>
    <col min="5134" max="5135" width="14.28515625" style="1" customWidth="1"/>
    <col min="5136" max="5137" width="14.140625" style="1" customWidth="1"/>
    <col min="5138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15.28515625" style="1" customWidth="1"/>
    <col min="5387" max="5387" width="21.140625" style="1" bestFit="1" customWidth="1"/>
    <col min="5388" max="5388" width="15" style="1" customWidth="1"/>
    <col min="5389" max="5389" width="14.5703125" style="1" customWidth="1"/>
    <col min="5390" max="5391" width="14.28515625" style="1" customWidth="1"/>
    <col min="5392" max="5393" width="14.140625" style="1" customWidth="1"/>
    <col min="5394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15.28515625" style="1" customWidth="1"/>
    <col min="5643" max="5643" width="21.140625" style="1" bestFit="1" customWidth="1"/>
    <col min="5644" max="5644" width="15" style="1" customWidth="1"/>
    <col min="5645" max="5645" width="14.5703125" style="1" customWidth="1"/>
    <col min="5646" max="5647" width="14.28515625" style="1" customWidth="1"/>
    <col min="5648" max="5649" width="14.140625" style="1" customWidth="1"/>
    <col min="5650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15.28515625" style="1" customWidth="1"/>
    <col min="5899" max="5899" width="21.140625" style="1" bestFit="1" customWidth="1"/>
    <col min="5900" max="5900" width="15" style="1" customWidth="1"/>
    <col min="5901" max="5901" width="14.5703125" style="1" customWidth="1"/>
    <col min="5902" max="5903" width="14.28515625" style="1" customWidth="1"/>
    <col min="5904" max="5905" width="14.140625" style="1" customWidth="1"/>
    <col min="5906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15.28515625" style="1" customWidth="1"/>
    <col min="6155" max="6155" width="21.140625" style="1" bestFit="1" customWidth="1"/>
    <col min="6156" max="6156" width="15" style="1" customWidth="1"/>
    <col min="6157" max="6157" width="14.5703125" style="1" customWidth="1"/>
    <col min="6158" max="6159" width="14.28515625" style="1" customWidth="1"/>
    <col min="6160" max="6161" width="14.140625" style="1" customWidth="1"/>
    <col min="6162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15.28515625" style="1" customWidth="1"/>
    <col min="6411" max="6411" width="21.140625" style="1" bestFit="1" customWidth="1"/>
    <col min="6412" max="6412" width="15" style="1" customWidth="1"/>
    <col min="6413" max="6413" width="14.5703125" style="1" customWidth="1"/>
    <col min="6414" max="6415" width="14.28515625" style="1" customWidth="1"/>
    <col min="6416" max="6417" width="14.140625" style="1" customWidth="1"/>
    <col min="6418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15.28515625" style="1" customWidth="1"/>
    <col min="6667" max="6667" width="21.140625" style="1" bestFit="1" customWidth="1"/>
    <col min="6668" max="6668" width="15" style="1" customWidth="1"/>
    <col min="6669" max="6669" width="14.5703125" style="1" customWidth="1"/>
    <col min="6670" max="6671" width="14.28515625" style="1" customWidth="1"/>
    <col min="6672" max="6673" width="14.140625" style="1" customWidth="1"/>
    <col min="6674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15.28515625" style="1" customWidth="1"/>
    <col min="6923" max="6923" width="21.140625" style="1" bestFit="1" customWidth="1"/>
    <col min="6924" max="6924" width="15" style="1" customWidth="1"/>
    <col min="6925" max="6925" width="14.5703125" style="1" customWidth="1"/>
    <col min="6926" max="6927" width="14.28515625" style="1" customWidth="1"/>
    <col min="6928" max="6929" width="14.140625" style="1" customWidth="1"/>
    <col min="6930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15.28515625" style="1" customWidth="1"/>
    <col min="7179" max="7179" width="21.140625" style="1" bestFit="1" customWidth="1"/>
    <col min="7180" max="7180" width="15" style="1" customWidth="1"/>
    <col min="7181" max="7181" width="14.5703125" style="1" customWidth="1"/>
    <col min="7182" max="7183" width="14.28515625" style="1" customWidth="1"/>
    <col min="7184" max="7185" width="14.140625" style="1" customWidth="1"/>
    <col min="7186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15.28515625" style="1" customWidth="1"/>
    <col min="7435" max="7435" width="21.140625" style="1" bestFit="1" customWidth="1"/>
    <col min="7436" max="7436" width="15" style="1" customWidth="1"/>
    <col min="7437" max="7437" width="14.5703125" style="1" customWidth="1"/>
    <col min="7438" max="7439" width="14.28515625" style="1" customWidth="1"/>
    <col min="7440" max="7441" width="14.140625" style="1" customWidth="1"/>
    <col min="7442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15.28515625" style="1" customWidth="1"/>
    <col min="7691" max="7691" width="21.140625" style="1" bestFit="1" customWidth="1"/>
    <col min="7692" max="7692" width="15" style="1" customWidth="1"/>
    <col min="7693" max="7693" width="14.5703125" style="1" customWidth="1"/>
    <col min="7694" max="7695" width="14.28515625" style="1" customWidth="1"/>
    <col min="7696" max="7697" width="14.140625" style="1" customWidth="1"/>
    <col min="7698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15.28515625" style="1" customWidth="1"/>
    <col min="7947" max="7947" width="21.140625" style="1" bestFit="1" customWidth="1"/>
    <col min="7948" max="7948" width="15" style="1" customWidth="1"/>
    <col min="7949" max="7949" width="14.5703125" style="1" customWidth="1"/>
    <col min="7950" max="7951" width="14.28515625" style="1" customWidth="1"/>
    <col min="7952" max="7953" width="14.140625" style="1" customWidth="1"/>
    <col min="7954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15.28515625" style="1" customWidth="1"/>
    <col min="8203" max="8203" width="21.140625" style="1" bestFit="1" customWidth="1"/>
    <col min="8204" max="8204" width="15" style="1" customWidth="1"/>
    <col min="8205" max="8205" width="14.5703125" style="1" customWidth="1"/>
    <col min="8206" max="8207" width="14.28515625" style="1" customWidth="1"/>
    <col min="8208" max="8209" width="14.140625" style="1" customWidth="1"/>
    <col min="8210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15.28515625" style="1" customWidth="1"/>
    <col min="8459" max="8459" width="21.140625" style="1" bestFit="1" customWidth="1"/>
    <col min="8460" max="8460" width="15" style="1" customWidth="1"/>
    <col min="8461" max="8461" width="14.5703125" style="1" customWidth="1"/>
    <col min="8462" max="8463" width="14.28515625" style="1" customWidth="1"/>
    <col min="8464" max="8465" width="14.140625" style="1" customWidth="1"/>
    <col min="8466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15.28515625" style="1" customWidth="1"/>
    <col min="8715" max="8715" width="21.140625" style="1" bestFit="1" customWidth="1"/>
    <col min="8716" max="8716" width="15" style="1" customWidth="1"/>
    <col min="8717" max="8717" width="14.5703125" style="1" customWidth="1"/>
    <col min="8718" max="8719" width="14.28515625" style="1" customWidth="1"/>
    <col min="8720" max="8721" width="14.140625" style="1" customWidth="1"/>
    <col min="8722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15.28515625" style="1" customWidth="1"/>
    <col min="8971" max="8971" width="21.140625" style="1" bestFit="1" customWidth="1"/>
    <col min="8972" max="8972" width="15" style="1" customWidth="1"/>
    <col min="8973" max="8973" width="14.5703125" style="1" customWidth="1"/>
    <col min="8974" max="8975" width="14.28515625" style="1" customWidth="1"/>
    <col min="8976" max="8977" width="14.140625" style="1" customWidth="1"/>
    <col min="8978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15.28515625" style="1" customWidth="1"/>
    <col min="9227" max="9227" width="21.140625" style="1" bestFit="1" customWidth="1"/>
    <col min="9228" max="9228" width="15" style="1" customWidth="1"/>
    <col min="9229" max="9229" width="14.5703125" style="1" customWidth="1"/>
    <col min="9230" max="9231" width="14.28515625" style="1" customWidth="1"/>
    <col min="9232" max="9233" width="14.140625" style="1" customWidth="1"/>
    <col min="9234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15.28515625" style="1" customWidth="1"/>
    <col min="9483" max="9483" width="21.140625" style="1" bestFit="1" customWidth="1"/>
    <col min="9484" max="9484" width="15" style="1" customWidth="1"/>
    <col min="9485" max="9485" width="14.5703125" style="1" customWidth="1"/>
    <col min="9486" max="9487" width="14.28515625" style="1" customWidth="1"/>
    <col min="9488" max="9489" width="14.140625" style="1" customWidth="1"/>
    <col min="9490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15.28515625" style="1" customWidth="1"/>
    <col min="9739" max="9739" width="21.140625" style="1" bestFit="1" customWidth="1"/>
    <col min="9740" max="9740" width="15" style="1" customWidth="1"/>
    <col min="9741" max="9741" width="14.5703125" style="1" customWidth="1"/>
    <col min="9742" max="9743" width="14.28515625" style="1" customWidth="1"/>
    <col min="9744" max="9745" width="14.140625" style="1" customWidth="1"/>
    <col min="9746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15.28515625" style="1" customWidth="1"/>
    <col min="9995" max="9995" width="21.140625" style="1" bestFit="1" customWidth="1"/>
    <col min="9996" max="9996" width="15" style="1" customWidth="1"/>
    <col min="9997" max="9997" width="14.5703125" style="1" customWidth="1"/>
    <col min="9998" max="9999" width="14.28515625" style="1" customWidth="1"/>
    <col min="10000" max="10001" width="14.140625" style="1" customWidth="1"/>
    <col min="10002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15.28515625" style="1" customWidth="1"/>
    <col min="10251" max="10251" width="21.140625" style="1" bestFit="1" customWidth="1"/>
    <col min="10252" max="10252" width="15" style="1" customWidth="1"/>
    <col min="10253" max="10253" width="14.5703125" style="1" customWidth="1"/>
    <col min="10254" max="10255" width="14.28515625" style="1" customWidth="1"/>
    <col min="10256" max="10257" width="14.140625" style="1" customWidth="1"/>
    <col min="10258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15.28515625" style="1" customWidth="1"/>
    <col min="10507" max="10507" width="21.140625" style="1" bestFit="1" customWidth="1"/>
    <col min="10508" max="10508" width="15" style="1" customWidth="1"/>
    <col min="10509" max="10509" width="14.5703125" style="1" customWidth="1"/>
    <col min="10510" max="10511" width="14.28515625" style="1" customWidth="1"/>
    <col min="10512" max="10513" width="14.140625" style="1" customWidth="1"/>
    <col min="10514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15.28515625" style="1" customWidth="1"/>
    <col min="10763" max="10763" width="21.140625" style="1" bestFit="1" customWidth="1"/>
    <col min="10764" max="10764" width="15" style="1" customWidth="1"/>
    <col min="10765" max="10765" width="14.5703125" style="1" customWidth="1"/>
    <col min="10766" max="10767" width="14.28515625" style="1" customWidth="1"/>
    <col min="10768" max="10769" width="14.140625" style="1" customWidth="1"/>
    <col min="10770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15.28515625" style="1" customWidth="1"/>
    <col min="11019" max="11019" width="21.140625" style="1" bestFit="1" customWidth="1"/>
    <col min="11020" max="11020" width="15" style="1" customWidth="1"/>
    <col min="11021" max="11021" width="14.5703125" style="1" customWidth="1"/>
    <col min="11022" max="11023" width="14.28515625" style="1" customWidth="1"/>
    <col min="11024" max="11025" width="14.140625" style="1" customWidth="1"/>
    <col min="11026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15.28515625" style="1" customWidth="1"/>
    <col min="11275" max="11275" width="21.140625" style="1" bestFit="1" customWidth="1"/>
    <col min="11276" max="11276" width="15" style="1" customWidth="1"/>
    <col min="11277" max="11277" width="14.5703125" style="1" customWidth="1"/>
    <col min="11278" max="11279" width="14.28515625" style="1" customWidth="1"/>
    <col min="11280" max="11281" width="14.140625" style="1" customWidth="1"/>
    <col min="11282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15.28515625" style="1" customWidth="1"/>
    <col min="11531" max="11531" width="21.140625" style="1" bestFit="1" customWidth="1"/>
    <col min="11532" max="11532" width="15" style="1" customWidth="1"/>
    <col min="11533" max="11533" width="14.5703125" style="1" customWidth="1"/>
    <col min="11534" max="11535" width="14.28515625" style="1" customWidth="1"/>
    <col min="11536" max="11537" width="14.140625" style="1" customWidth="1"/>
    <col min="11538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15.28515625" style="1" customWidth="1"/>
    <col min="11787" max="11787" width="21.140625" style="1" bestFit="1" customWidth="1"/>
    <col min="11788" max="11788" width="15" style="1" customWidth="1"/>
    <col min="11789" max="11789" width="14.5703125" style="1" customWidth="1"/>
    <col min="11790" max="11791" width="14.28515625" style="1" customWidth="1"/>
    <col min="11792" max="11793" width="14.140625" style="1" customWidth="1"/>
    <col min="11794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15.28515625" style="1" customWidth="1"/>
    <col min="12043" max="12043" width="21.140625" style="1" bestFit="1" customWidth="1"/>
    <col min="12044" max="12044" width="15" style="1" customWidth="1"/>
    <col min="12045" max="12045" width="14.5703125" style="1" customWidth="1"/>
    <col min="12046" max="12047" width="14.28515625" style="1" customWidth="1"/>
    <col min="12048" max="12049" width="14.140625" style="1" customWidth="1"/>
    <col min="12050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15.28515625" style="1" customWidth="1"/>
    <col min="12299" max="12299" width="21.140625" style="1" bestFit="1" customWidth="1"/>
    <col min="12300" max="12300" width="15" style="1" customWidth="1"/>
    <col min="12301" max="12301" width="14.5703125" style="1" customWidth="1"/>
    <col min="12302" max="12303" width="14.28515625" style="1" customWidth="1"/>
    <col min="12304" max="12305" width="14.140625" style="1" customWidth="1"/>
    <col min="12306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15.28515625" style="1" customWidth="1"/>
    <col min="12555" max="12555" width="21.140625" style="1" bestFit="1" customWidth="1"/>
    <col min="12556" max="12556" width="15" style="1" customWidth="1"/>
    <col min="12557" max="12557" width="14.5703125" style="1" customWidth="1"/>
    <col min="12558" max="12559" width="14.28515625" style="1" customWidth="1"/>
    <col min="12560" max="12561" width="14.140625" style="1" customWidth="1"/>
    <col min="12562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15.28515625" style="1" customWidth="1"/>
    <col min="12811" max="12811" width="21.140625" style="1" bestFit="1" customWidth="1"/>
    <col min="12812" max="12812" width="15" style="1" customWidth="1"/>
    <col min="12813" max="12813" width="14.5703125" style="1" customWidth="1"/>
    <col min="12814" max="12815" width="14.28515625" style="1" customWidth="1"/>
    <col min="12816" max="12817" width="14.140625" style="1" customWidth="1"/>
    <col min="12818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15.28515625" style="1" customWidth="1"/>
    <col min="13067" max="13067" width="21.140625" style="1" bestFit="1" customWidth="1"/>
    <col min="13068" max="13068" width="15" style="1" customWidth="1"/>
    <col min="13069" max="13069" width="14.5703125" style="1" customWidth="1"/>
    <col min="13070" max="13071" width="14.28515625" style="1" customWidth="1"/>
    <col min="13072" max="13073" width="14.140625" style="1" customWidth="1"/>
    <col min="13074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15.28515625" style="1" customWidth="1"/>
    <col min="13323" max="13323" width="21.140625" style="1" bestFit="1" customWidth="1"/>
    <col min="13324" max="13324" width="15" style="1" customWidth="1"/>
    <col min="13325" max="13325" width="14.5703125" style="1" customWidth="1"/>
    <col min="13326" max="13327" width="14.28515625" style="1" customWidth="1"/>
    <col min="13328" max="13329" width="14.140625" style="1" customWidth="1"/>
    <col min="13330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15.28515625" style="1" customWidth="1"/>
    <col min="13579" max="13579" width="21.140625" style="1" bestFit="1" customWidth="1"/>
    <col min="13580" max="13580" width="15" style="1" customWidth="1"/>
    <col min="13581" max="13581" width="14.5703125" style="1" customWidth="1"/>
    <col min="13582" max="13583" width="14.28515625" style="1" customWidth="1"/>
    <col min="13584" max="13585" width="14.140625" style="1" customWidth="1"/>
    <col min="13586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15.28515625" style="1" customWidth="1"/>
    <col min="13835" max="13835" width="21.140625" style="1" bestFit="1" customWidth="1"/>
    <col min="13836" max="13836" width="15" style="1" customWidth="1"/>
    <col min="13837" max="13837" width="14.5703125" style="1" customWidth="1"/>
    <col min="13838" max="13839" width="14.28515625" style="1" customWidth="1"/>
    <col min="13840" max="13841" width="14.140625" style="1" customWidth="1"/>
    <col min="13842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15.28515625" style="1" customWidth="1"/>
    <col min="14091" max="14091" width="21.140625" style="1" bestFit="1" customWidth="1"/>
    <col min="14092" max="14092" width="15" style="1" customWidth="1"/>
    <col min="14093" max="14093" width="14.5703125" style="1" customWidth="1"/>
    <col min="14094" max="14095" width="14.28515625" style="1" customWidth="1"/>
    <col min="14096" max="14097" width="14.140625" style="1" customWidth="1"/>
    <col min="14098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15.28515625" style="1" customWidth="1"/>
    <col min="14347" max="14347" width="21.140625" style="1" bestFit="1" customWidth="1"/>
    <col min="14348" max="14348" width="15" style="1" customWidth="1"/>
    <col min="14349" max="14349" width="14.5703125" style="1" customWidth="1"/>
    <col min="14350" max="14351" width="14.28515625" style="1" customWidth="1"/>
    <col min="14352" max="14353" width="14.140625" style="1" customWidth="1"/>
    <col min="14354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15.28515625" style="1" customWidth="1"/>
    <col min="14603" max="14603" width="21.140625" style="1" bestFit="1" customWidth="1"/>
    <col min="14604" max="14604" width="15" style="1" customWidth="1"/>
    <col min="14605" max="14605" width="14.5703125" style="1" customWidth="1"/>
    <col min="14606" max="14607" width="14.28515625" style="1" customWidth="1"/>
    <col min="14608" max="14609" width="14.140625" style="1" customWidth="1"/>
    <col min="14610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15.28515625" style="1" customWidth="1"/>
    <col min="14859" max="14859" width="21.140625" style="1" bestFit="1" customWidth="1"/>
    <col min="14860" max="14860" width="15" style="1" customWidth="1"/>
    <col min="14861" max="14861" width="14.5703125" style="1" customWidth="1"/>
    <col min="14862" max="14863" width="14.28515625" style="1" customWidth="1"/>
    <col min="14864" max="14865" width="14.140625" style="1" customWidth="1"/>
    <col min="14866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15.28515625" style="1" customWidth="1"/>
    <col min="15115" max="15115" width="21.140625" style="1" bestFit="1" customWidth="1"/>
    <col min="15116" max="15116" width="15" style="1" customWidth="1"/>
    <col min="15117" max="15117" width="14.5703125" style="1" customWidth="1"/>
    <col min="15118" max="15119" width="14.28515625" style="1" customWidth="1"/>
    <col min="15120" max="15121" width="14.140625" style="1" customWidth="1"/>
    <col min="15122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15.28515625" style="1" customWidth="1"/>
    <col min="15371" max="15371" width="21.140625" style="1" bestFit="1" customWidth="1"/>
    <col min="15372" max="15372" width="15" style="1" customWidth="1"/>
    <col min="15373" max="15373" width="14.5703125" style="1" customWidth="1"/>
    <col min="15374" max="15375" width="14.28515625" style="1" customWidth="1"/>
    <col min="15376" max="15377" width="14.140625" style="1" customWidth="1"/>
    <col min="15378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15.28515625" style="1" customWidth="1"/>
    <col min="15627" max="15627" width="21.140625" style="1" bestFit="1" customWidth="1"/>
    <col min="15628" max="15628" width="15" style="1" customWidth="1"/>
    <col min="15629" max="15629" width="14.5703125" style="1" customWidth="1"/>
    <col min="15630" max="15631" width="14.28515625" style="1" customWidth="1"/>
    <col min="15632" max="15633" width="14.140625" style="1" customWidth="1"/>
    <col min="15634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15.28515625" style="1" customWidth="1"/>
    <col min="15883" max="15883" width="21.140625" style="1" bestFit="1" customWidth="1"/>
    <col min="15884" max="15884" width="15" style="1" customWidth="1"/>
    <col min="15885" max="15885" width="14.5703125" style="1" customWidth="1"/>
    <col min="15886" max="15887" width="14.28515625" style="1" customWidth="1"/>
    <col min="15888" max="15889" width="14.140625" style="1" customWidth="1"/>
    <col min="15890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15.28515625" style="1" customWidth="1"/>
    <col min="16139" max="16139" width="21.140625" style="1" bestFit="1" customWidth="1"/>
    <col min="16140" max="16140" width="15" style="1" customWidth="1"/>
    <col min="16141" max="16141" width="14.5703125" style="1" customWidth="1"/>
    <col min="16142" max="16143" width="14.28515625" style="1" customWidth="1"/>
    <col min="16144" max="16145" width="14.140625" style="1" customWidth="1"/>
    <col min="16146" max="16384" width="21.5703125" style="1"/>
  </cols>
  <sheetData>
    <row r="1" spans="2:17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2"/>
      <c r="P1" s="2"/>
      <c r="Q1" s="72"/>
    </row>
    <row r="2" spans="2:17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2"/>
      <c r="P2" s="2"/>
    </row>
    <row r="3" spans="2:17" ht="15.75" x14ac:dyDescent="0.25">
      <c r="E3" s="77">
        <v>2016</v>
      </c>
      <c r="F3" s="3"/>
      <c r="G3" s="3"/>
      <c r="H3" s="7"/>
      <c r="I3" s="3"/>
      <c r="J3" s="7"/>
      <c r="K3" s="7"/>
      <c r="L3" s="7"/>
      <c r="M3" s="7"/>
      <c r="N3" s="7"/>
      <c r="O3" s="7"/>
      <c r="P3" s="7"/>
    </row>
    <row r="4" spans="2:17" ht="16.5" thickBot="1" x14ac:dyDescent="0.3">
      <c r="F4" s="5"/>
      <c r="G4" s="9"/>
      <c r="H4" s="9"/>
      <c r="I4" s="9"/>
      <c r="J4" s="9"/>
      <c r="K4" s="9"/>
      <c r="L4" s="9"/>
      <c r="M4" s="9"/>
      <c r="N4" s="9"/>
      <c r="Q4" s="76" t="s">
        <v>54</v>
      </c>
    </row>
    <row r="5" spans="2:17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7</v>
      </c>
      <c r="K5" s="12" t="s">
        <v>60</v>
      </c>
      <c r="L5" s="12" t="s">
        <v>8</v>
      </c>
      <c r="M5" s="12" t="s">
        <v>9</v>
      </c>
      <c r="N5" s="12" t="s">
        <v>10</v>
      </c>
      <c r="O5" s="12" t="s">
        <v>11</v>
      </c>
      <c r="P5" s="13" t="s">
        <v>59</v>
      </c>
      <c r="Q5" s="63" t="s">
        <v>56</v>
      </c>
    </row>
    <row r="6" spans="2:17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8"/>
      <c r="Q6" s="64"/>
    </row>
    <row r="7" spans="2:17" ht="15.75" x14ac:dyDescent="0.25">
      <c r="E7" s="20" t="s">
        <v>13</v>
      </c>
      <c r="F7" s="16">
        <f>G7+H7+I7+J7+K7+L7+M7+N7+O7+P7+Q7</f>
        <v>145082223</v>
      </c>
      <c r="G7" s="16">
        <v>865428</v>
      </c>
      <c r="H7" s="16">
        <v>21693638</v>
      </c>
      <c r="I7" s="16">
        <v>3266</v>
      </c>
      <c r="J7" s="16">
        <v>51206585</v>
      </c>
      <c r="K7" s="16">
        <v>6167643</v>
      </c>
      <c r="L7" s="16">
        <v>388495</v>
      </c>
      <c r="M7" s="16">
        <v>3193236</v>
      </c>
      <c r="N7" s="16">
        <v>47620802</v>
      </c>
      <c r="O7" s="16">
        <v>13796168</v>
      </c>
      <c r="P7" s="16">
        <v>39240</v>
      </c>
      <c r="Q7" s="66">
        <v>107722</v>
      </c>
    </row>
    <row r="8" spans="2:17" ht="15.75" x14ac:dyDescent="0.25"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66"/>
    </row>
    <row r="9" spans="2:17" ht="15.75" x14ac:dyDescent="0.25">
      <c r="E9" s="20" t="s">
        <v>14</v>
      </c>
      <c r="F9" s="16">
        <f>G9+H9+I9+J9+K9+L9+M9+N9+O9+P9+Q9</f>
        <v>8184177</v>
      </c>
      <c r="G9" s="16">
        <v>11490</v>
      </c>
      <c r="H9" s="16">
        <v>1158013</v>
      </c>
      <c r="I9" s="16">
        <v>6091</v>
      </c>
      <c r="J9" s="16">
        <v>1972780</v>
      </c>
      <c r="K9" s="16">
        <v>170171</v>
      </c>
      <c r="L9" s="16">
        <v>4851858</v>
      </c>
      <c r="M9" s="16">
        <v>0</v>
      </c>
      <c r="N9" s="16">
        <v>0</v>
      </c>
      <c r="O9" s="16">
        <v>0</v>
      </c>
      <c r="P9" s="16">
        <v>0</v>
      </c>
      <c r="Q9" s="66">
        <v>13774</v>
      </c>
    </row>
    <row r="10" spans="2:17" ht="15.75" x14ac:dyDescent="0.25"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66"/>
    </row>
    <row r="11" spans="2:17" ht="15.75" x14ac:dyDescent="0.25">
      <c r="B11" s="21"/>
      <c r="C11" s="21"/>
      <c r="D11" s="21"/>
      <c r="E11" s="20" t="s">
        <v>15</v>
      </c>
      <c r="F11" s="16">
        <f>G11+H11+I11+J11+K11+L11+M11+N11+O11+P11+Q11</f>
        <v>74865875</v>
      </c>
      <c r="G11" s="16">
        <v>417935</v>
      </c>
      <c r="H11" s="16">
        <v>9138230</v>
      </c>
      <c r="I11" s="16">
        <v>0</v>
      </c>
      <c r="J11" s="16">
        <v>21992086</v>
      </c>
      <c r="K11" s="16">
        <v>2862311</v>
      </c>
      <c r="L11" s="16">
        <v>822364</v>
      </c>
      <c r="M11" s="16">
        <v>613230</v>
      </c>
      <c r="N11" s="16">
        <v>33038938</v>
      </c>
      <c r="O11" s="16">
        <v>5980781</v>
      </c>
      <c r="P11" s="16">
        <v>0</v>
      </c>
      <c r="Q11" s="66">
        <v>0</v>
      </c>
    </row>
    <row r="12" spans="2:17" ht="15.75" x14ac:dyDescent="0.25"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6"/>
    </row>
    <row r="13" spans="2:17" ht="15.75" x14ac:dyDescent="0.25">
      <c r="E13" s="20" t="s">
        <v>17</v>
      </c>
      <c r="F13" s="16">
        <f>G13+H13+I13+J13+K13+L13+M13+N13+O13+P13+Q13</f>
        <v>6118673</v>
      </c>
      <c r="G13" s="16">
        <v>0</v>
      </c>
      <c r="H13" s="16">
        <v>617352</v>
      </c>
      <c r="I13" s="16">
        <v>0</v>
      </c>
      <c r="J13" s="16">
        <v>1411699</v>
      </c>
      <c r="K13" s="16">
        <v>291313</v>
      </c>
      <c r="L13" s="16">
        <v>3798309</v>
      </c>
      <c r="M13" s="16">
        <v>0</v>
      </c>
      <c r="N13" s="16">
        <v>0</v>
      </c>
      <c r="O13" s="16">
        <v>0</v>
      </c>
      <c r="P13" s="16">
        <v>0</v>
      </c>
      <c r="Q13" s="66">
        <v>0</v>
      </c>
    </row>
    <row r="14" spans="2:17" ht="15.75" x14ac:dyDescent="0.25"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66"/>
    </row>
    <row r="15" spans="2:17" ht="15.75" x14ac:dyDescent="0.25">
      <c r="E15" s="20" t="s">
        <v>18</v>
      </c>
      <c r="F15" s="16">
        <f>G15+H15+I15+J15+K15+L15+M15+N15+O15+P15+Q15</f>
        <v>13329093</v>
      </c>
      <c r="G15" s="16">
        <v>0</v>
      </c>
      <c r="H15" s="16">
        <v>1126477</v>
      </c>
      <c r="I15" s="16">
        <v>0</v>
      </c>
      <c r="J15" s="16">
        <v>4050191</v>
      </c>
      <c r="K15" s="16">
        <v>855418</v>
      </c>
      <c r="L15" s="16">
        <v>6691206</v>
      </c>
      <c r="M15" s="16">
        <v>555467</v>
      </c>
      <c r="N15" s="16">
        <v>50334</v>
      </c>
      <c r="O15" s="16">
        <v>0</v>
      </c>
      <c r="P15" s="16">
        <v>0</v>
      </c>
      <c r="Q15" s="66">
        <v>0</v>
      </c>
    </row>
    <row r="16" spans="2:17" ht="15.75" x14ac:dyDescent="0.25"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66"/>
    </row>
    <row r="17" spans="5:17" ht="15.75" x14ac:dyDescent="0.25">
      <c r="E17" s="20" t="s">
        <v>19</v>
      </c>
      <c r="F17" s="16">
        <f>G17+H17+I17+J17+K17+L17+M17+N17+O17+P17+Q17</f>
        <v>25449265</v>
      </c>
      <c r="G17" s="16">
        <v>27603</v>
      </c>
      <c r="H17" s="16">
        <v>2642153</v>
      </c>
      <c r="I17" s="16">
        <v>0</v>
      </c>
      <c r="J17" s="16">
        <v>8413075</v>
      </c>
      <c r="K17" s="16">
        <v>981334</v>
      </c>
      <c r="L17" s="16">
        <v>459073</v>
      </c>
      <c r="M17" s="16">
        <v>395317</v>
      </c>
      <c r="N17" s="16">
        <v>9195588</v>
      </c>
      <c r="O17" s="16">
        <v>3330597</v>
      </c>
      <c r="P17" s="16">
        <v>0</v>
      </c>
      <c r="Q17" s="66">
        <v>4525</v>
      </c>
    </row>
    <row r="18" spans="5:17" ht="15.75" x14ac:dyDescent="0.25"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66"/>
    </row>
    <row r="19" spans="5:17" ht="15.75" x14ac:dyDescent="0.25">
      <c r="E19" s="20" t="s">
        <v>20</v>
      </c>
      <c r="F19" s="16">
        <f>G19+H19+I19+J19+K19+L19+M19+N19+O19+P19+Q19</f>
        <v>20665944</v>
      </c>
      <c r="G19" s="16">
        <v>0</v>
      </c>
      <c r="H19" s="16">
        <v>2618807</v>
      </c>
      <c r="I19" s="16">
        <v>0</v>
      </c>
      <c r="J19" s="16">
        <v>6777484</v>
      </c>
      <c r="K19" s="16">
        <v>1282583</v>
      </c>
      <c r="L19" s="16">
        <v>254340</v>
      </c>
      <c r="M19" s="16">
        <v>655838</v>
      </c>
      <c r="N19" s="16">
        <v>9058652</v>
      </c>
      <c r="O19" s="16">
        <v>0</v>
      </c>
      <c r="P19" s="16">
        <v>18240</v>
      </c>
      <c r="Q19" s="66">
        <v>0</v>
      </c>
    </row>
    <row r="20" spans="5:17" ht="15.75" x14ac:dyDescent="0.25"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66"/>
    </row>
    <row r="21" spans="5:17" ht="15.75" x14ac:dyDescent="0.25">
      <c r="E21" s="20" t="s">
        <v>21</v>
      </c>
      <c r="F21" s="16">
        <f>G21+H21+I21+J21+K21+L21+M21+N21+O21+P21+Q21</f>
        <v>4045718</v>
      </c>
      <c r="G21" s="16">
        <v>0</v>
      </c>
      <c r="H21" s="16">
        <v>589491</v>
      </c>
      <c r="I21" s="16">
        <v>0</v>
      </c>
      <c r="J21" s="16">
        <v>1693899</v>
      </c>
      <c r="K21" s="16">
        <v>163163</v>
      </c>
      <c r="L21" s="16">
        <v>1599165</v>
      </c>
      <c r="M21" s="16">
        <v>0</v>
      </c>
      <c r="N21" s="16">
        <v>0</v>
      </c>
      <c r="O21" s="16">
        <v>0</v>
      </c>
      <c r="P21" s="16">
        <v>0</v>
      </c>
      <c r="Q21" s="66">
        <v>0</v>
      </c>
    </row>
    <row r="22" spans="5:17" ht="15.75" x14ac:dyDescent="0.25"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66"/>
    </row>
    <row r="23" spans="5:17" ht="15.75" x14ac:dyDescent="0.25">
      <c r="E23" s="20" t="s">
        <v>22</v>
      </c>
      <c r="F23" s="16">
        <f>G23+H23+I23+J23+K23+L23+M23+N23+O23+P23+Q23</f>
        <v>760904</v>
      </c>
      <c r="G23" s="16">
        <v>0</v>
      </c>
      <c r="H23" s="16">
        <v>25853</v>
      </c>
      <c r="I23" s="16">
        <v>0</v>
      </c>
      <c r="J23" s="16">
        <v>240513</v>
      </c>
      <c r="K23" s="16">
        <v>20876</v>
      </c>
      <c r="L23" s="16">
        <v>473662</v>
      </c>
      <c r="M23" s="16">
        <v>0</v>
      </c>
      <c r="N23" s="16">
        <v>0</v>
      </c>
      <c r="O23" s="16">
        <v>0</v>
      </c>
      <c r="P23" s="16">
        <v>0</v>
      </c>
      <c r="Q23" s="66">
        <v>0</v>
      </c>
    </row>
    <row r="24" spans="5:17" ht="15.75" x14ac:dyDescent="0.25">
      <c r="E24" s="2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66"/>
    </row>
    <row r="25" spans="5:17" ht="15.75" x14ac:dyDescent="0.25">
      <c r="E25" s="65" t="s">
        <v>3</v>
      </c>
      <c r="F25" s="16">
        <f>G25+H25+I25+J25+K25+L25+M25+N25+O25+P25+Q25</f>
        <v>298501872</v>
      </c>
      <c r="G25" s="16">
        <f t="shared" ref="G25:Q25" si="0">G7+G9+G11+G13+G15+G17+G19+G21+G23</f>
        <v>1322456</v>
      </c>
      <c r="H25" s="16">
        <f t="shared" si="0"/>
        <v>39610014</v>
      </c>
      <c r="I25" s="16">
        <f t="shared" si="0"/>
        <v>9357</v>
      </c>
      <c r="J25" s="16">
        <f t="shared" si="0"/>
        <v>97758312</v>
      </c>
      <c r="K25" s="16">
        <f>K7+K9+K11+K13+K15+K17+K19+K21+K23</f>
        <v>12794812</v>
      </c>
      <c r="L25" s="16">
        <f t="shared" si="0"/>
        <v>19338472</v>
      </c>
      <c r="M25" s="16">
        <f t="shared" si="0"/>
        <v>5413088</v>
      </c>
      <c r="N25" s="16">
        <f t="shared" si="0"/>
        <v>98964314</v>
      </c>
      <c r="O25" s="16">
        <f t="shared" si="0"/>
        <v>23107546</v>
      </c>
      <c r="P25" s="16">
        <f>P7+P9+P11+P13+P15+P17+P19+P21+P23</f>
        <v>57480</v>
      </c>
      <c r="Q25" s="66">
        <f t="shared" si="0"/>
        <v>126021</v>
      </c>
    </row>
    <row r="26" spans="5:17" ht="16.5" thickBot="1" x14ac:dyDescent="0.3"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67"/>
    </row>
    <row r="27" spans="5:17" ht="16.5" thickTop="1" x14ac:dyDescent="0.25"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7"/>
    </row>
    <row r="28" spans="5:17" ht="15.75" x14ac:dyDescent="0.25">
      <c r="E28" s="33" t="s">
        <v>23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</row>
    <row r="29" spans="5:17" ht="15.75" x14ac:dyDescent="0.25"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7" ht="15.75" x14ac:dyDescent="0.25">
      <c r="F30" s="34"/>
      <c r="G30" s="35"/>
      <c r="H30" s="35"/>
      <c r="I30" s="35"/>
      <c r="J30" s="35"/>
      <c r="K30" s="35"/>
      <c r="L30" s="35"/>
      <c r="M30" s="35"/>
      <c r="N30" s="35"/>
      <c r="O30" s="35"/>
    </row>
    <row r="31" spans="5:17" ht="15.75" x14ac:dyDescent="0.25">
      <c r="E31" s="2" t="s">
        <v>0</v>
      </c>
      <c r="F31" s="3"/>
      <c r="G31" s="3"/>
      <c r="H31" s="7"/>
      <c r="I31" s="3"/>
      <c r="J31" s="7"/>
      <c r="K31" s="7"/>
      <c r="L31" s="7"/>
      <c r="M31" s="7"/>
      <c r="N31" s="7"/>
      <c r="O31" s="7"/>
      <c r="P31" s="7"/>
    </row>
    <row r="32" spans="5:17" ht="15.75" x14ac:dyDescent="0.25">
      <c r="F32" s="36"/>
      <c r="G32" s="37"/>
      <c r="H32" s="38"/>
      <c r="I32" s="38"/>
      <c r="J32" s="39" t="s">
        <v>1</v>
      </c>
      <c r="K32" s="39"/>
      <c r="L32" s="38"/>
      <c r="M32" s="38"/>
      <c r="N32" s="38"/>
      <c r="O32" s="38"/>
      <c r="P32" s="38"/>
    </row>
    <row r="33" spans="5:17" ht="15.75" x14ac:dyDescent="0.25">
      <c r="E33" s="77">
        <v>2016</v>
      </c>
      <c r="F33" s="3"/>
      <c r="G33" s="3"/>
      <c r="H33" s="7"/>
      <c r="I33" s="3"/>
      <c r="J33" s="7"/>
      <c r="K33" s="7"/>
      <c r="L33" s="7"/>
      <c r="M33" s="7"/>
      <c r="N33" s="7"/>
      <c r="O33" s="7"/>
      <c r="P33" s="7"/>
    </row>
    <row r="34" spans="5:17" ht="16.5" thickBot="1" x14ac:dyDescent="0.3">
      <c r="F34" s="36"/>
      <c r="G34" s="38"/>
      <c r="H34" s="38"/>
      <c r="I34" s="38"/>
      <c r="J34" s="38"/>
      <c r="K34" s="38"/>
      <c r="L34" s="38"/>
      <c r="M34" s="38"/>
      <c r="N34" s="38"/>
      <c r="Q34" s="76" t="s">
        <v>54</v>
      </c>
    </row>
    <row r="35" spans="5:17" ht="15.95" customHeight="1" thickTop="1" x14ac:dyDescent="0.25">
      <c r="E35" s="41" t="s">
        <v>24</v>
      </c>
      <c r="F35" s="42" t="s">
        <v>3</v>
      </c>
      <c r="G35" s="62" t="s">
        <v>43</v>
      </c>
      <c r="H35" s="62" t="s">
        <v>40</v>
      </c>
      <c r="I35" s="43" t="s">
        <v>6</v>
      </c>
      <c r="J35" s="43" t="s">
        <v>7</v>
      </c>
      <c r="K35" s="12" t="s">
        <v>60</v>
      </c>
      <c r="L35" s="43" t="s">
        <v>8</v>
      </c>
      <c r="M35" s="43" t="s">
        <v>25</v>
      </c>
      <c r="N35" s="44" t="s">
        <v>10</v>
      </c>
      <c r="O35" s="12" t="s">
        <v>11</v>
      </c>
      <c r="P35" s="13" t="s">
        <v>59</v>
      </c>
      <c r="Q35" s="63" t="s">
        <v>56</v>
      </c>
    </row>
    <row r="36" spans="5:17" ht="15.95" customHeight="1" x14ac:dyDescent="0.25">
      <c r="E36" s="45"/>
      <c r="F36" s="46"/>
      <c r="G36" s="46"/>
      <c r="H36" s="46"/>
      <c r="I36" s="46"/>
      <c r="J36" s="46"/>
      <c r="K36" s="46"/>
      <c r="L36" s="46"/>
      <c r="M36" s="46"/>
      <c r="N36" s="78"/>
      <c r="O36" s="46"/>
      <c r="P36" s="78"/>
      <c r="Q36" s="79"/>
    </row>
    <row r="37" spans="5:17" ht="15.95" customHeight="1" x14ac:dyDescent="0.25">
      <c r="E37" s="45" t="s">
        <v>26</v>
      </c>
      <c r="F37" s="49">
        <f>SUM(G37:Q37)</f>
        <v>21269772</v>
      </c>
      <c r="G37" s="49">
        <v>154918</v>
      </c>
      <c r="H37" s="49">
        <v>2612514</v>
      </c>
      <c r="I37" s="49">
        <v>1998</v>
      </c>
      <c r="J37" s="49">
        <v>7291426</v>
      </c>
      <c r="K37" s="49">
        <v>0</v>
      </c>
      <c r="L37" s="49">
        <v>1372848</v>
      </c>
      <c r="M37" s="80">
        <v>399427</v>
      </c>
      <c r="N37" s="80">
        <v>6215895</v>
      </c>
      <c r="O37" s="49">
        <v>3215303</v>
      </c>
      <c r="P37" s="83">
        <v>0</v>
      </c>
      <c r="Q37" s="81">
        <v>5443</v>
      </c>
    </row>
    <row r="38" spans="5:17" ht="15.95" customHeight="1" x14ac:dyDescent="0.25">
      <c r="E38" s="45" t="s">
        <v>27</v>
      </c>
      <c r="F38" s="49">
        <f>SUM(G38:Q38)</f>
        <v>22249056</v>
      </c>
      <c r="G38" s="49">
        <v>123677</v>
      </c>
      <c r="H38" s="49">
        <v>2830358</v>
      </c>
      <c r="I38" s="49">
        <v>0</v>
      </c>
      <c r="J38" s="49">
        <v>8352614</v>
      </c>
      <c r="K38" s="49">
        <v>0</v>
      </c>
      <c r="L38" s="49">
        <v>1490750</v>
      </c>
      <c r="M38" s="80">
        <v>456232</v>
      </c>
      <c r="N38" s="80">
        <v>6847218</v>
      </c>
      <c r="O38" s="49">
        <v>2146463</v>
      </c>
      <c r="P38" s="83">
        <v>0</v>
      </c>
      <c r="Q38" s="81">
        <v>1744</v>
      </c>
    </row>
    <row r="39" spans="5:17" ht="15.95" customHeight="1" x14ac:dyDescent="0.25">
      <c r="E39" s="45" t="s">
        <v>28</v>
      </c>
      <c r="F39" s="49">
        <f>SUM(G39:Q39)</f>
        <v>23822382</v>
      </c>
      <c r="G39" s="49">
        <v>156908</v>
      </c>
      <c r="H39" s="49">
        <v>3095999</v>
      </c>
      <c r="I39" s="49">
        <v>417</v>
      </c>
      <c r="J39" s="49">
        <v>9342863</v>
      </c>
      <c r="K39" s="49">
        <v>0</v>
      </c>
      <c r="L39" s="49">
        <v>1480066</v>
      </c>
      <c r="M39" s="80">
        <v>447937</v>
      </c>
      <c r="N39" s="80">
        <v>7458390</v>
      </c>
      <c r="O39" s="49">
        <v>1827679</v>
      </c>
      <c r="P39" s="83">
        <v>0</v>
      </c>
      <c r="Q39" s="81">
        <v>12123</v>
      </c>
    </row>
    <row r="40" spans="5:17" ht="15.95" customHeight="1" x14ac:dyDescent="0.25">
      <c r="E40" s="45"/>
      <c r="F40" s="49">
        <f t="shared" ref="F40:L40" si="1">F37+F38+F39</f>
        <v>67341210</v>
      </c>
      <c r="G40" s="49">
        <f t="shared" si="1"/>
        <v>435503</v>
      </c>
      <c r="H40" s="49">
        <f t="shared" si="1"/>
        <v>8538871</v>
      </c>
      <c r="I40" s="49">
        <f t="shared" si="1"/>
        <v>2415</v>
      </c>
      <c r="J40" s="49">
        <f t="shared" si="1"/>
        <v>24986903</v>
      </c>
      <c r="K40" s="49">
        <f t="shared" si="1"/>
        <v>0</v>
      </c>
      <c r="L40" s="49">
        <f t="shared" si="1"/>
        <v>4343664</v>
      </c>
      <c r="M40" s="80">
        <f>SUM(M37:M39)</f>
        <v>1303596</v>
      </c>
      <c r="N40" s="80">
        <f>SUM(N37:N39)</f>
        <v>20521503</v>
      </c>
      <c r="O40" s="49">
        <f>O37+O38+O39</f>
        <v>7189445</v>
      </c>
      <c r="P40" s="49">
        <f>P37+P38+P39</f>
        <v>0</v>
      </c>
      <c r="Q40" s="81">
        <f>Q37+Q38+Q39</f>
        <v>19310</v>
      </c>
    </row>
    <row r="41" spans="5:17" ht="15.95" customHeight="1" x14ac:dyDescent="0.25">
      <c r="E41" s="45" t="s">
        <v>29</v>
      </c>
      <c r="F41" s="49">
        <f>SUM(G41:Q41)</f>
        <v>23984296</v>
      </c>
      <c r="G41" s="49">
        <v>98228</v>
      </c>
      <c r="H41" s="49">
        <v>3007341</v>
      </c>
      <c r="I41" s="49">
        <v>4495</v>
      </c>
      <c r="J41" s="49">
        <v>10521140</v>
      </c>
      <c r="K41" s="49">
        <v>0</v>
      </c>
      <c r="L41" s="49">
        <v>656824</v>
      </c>
      <c r="M41" s="80">
        <v>423342</v>
      </c>
      <c r="N41" s="80">
        <v>7444564</v>
      </c>
      <c r="O41" s="49">
        <v>1827119</v>
      </c>
      <c r="P41" s="83">
        <v>0</v>
      </c>
      <c r="Q41" s="81">
        <v>1243</v>
      </c>
    </row>
    <row r="42" spans="5:17" ht="15.95" customHeight="1" x14ac:dyDescent="0.25">
      <c r="E42" s="45" t="s">
        <v>30</v>
      </c>
      <c r="F42" s="49">
        <f>SUM(G42:Q42)</f>
        <v>26793017</v>
      </c>
      <c r="G42" s="49">
        <v>163688</v>
      </c>
      <c r="H42" s="49">
        <v>3434661</v>
      </c>
      <c r="I42" s="49">
        <v>0</v>
      </c>
      <c r="J42" s="49">
        <v>11789799</v>
      </c>
      <c r="K42" s="49">
        <v>0</v>
      </c>
      <c r="L42" s="49">
        <v>627384</v>
      </c>
      <c r="M42" s="80">
        <v>416075</v>
      </c>
      <c r="N42" s="80">
        <v>8588099</v>
      </c>
      <c r="O42" s="49">
        <v>1711501</v>
      </c>
      <c r="P42" s="83">
        <v>57480</v>
      </c>
      <c r="Q42" s="81">
        <v>4330</v>
      </c>
    </row>
    <row r="43" spans="5:17" ht="15.95" customHeight="1" x14ac:dyDescent="0.25">
      <c r="E43" s="45" t="s">
        <v>31</v>
      </c>
      <c r="F43" s="49">
        <f>SUM(G43:Q43)</f>
        <v>24984749</v>
      </c>
      <c r="G43" s="49">
        <v>60249</v>
      </c>
      <c r="H43" s="49">
        <v>3461116</v>
      </c>
      <c r="I43" s="49">
        <v>0</v>
      </c>
      <c r="J43" s="49">
        <v>7366822</v>
      </c>
      <c r="K43" s="49">
        <v>2405572</v>
      </c>
      <c r="L43" s="49">
        <v>1212842</v>
      </c>
      <c r="M43" s="80">
        <v>472871</v>
      </c>
      <c r="N43" s="80">
        <v>8188347</v>
      </c>
      <c r="O43" s="49">
        <v>1815226</v>
      </c>
      <c r="P43" s="83">
        <v>0</v>
      </c>
      <c r="Q43" s="81">
        <v>1704</v>
      </c>
    </row>
    <row r="44" spans="5:17" ht="15.95" customHeight="1" x14ac:dyDescent="0.25">
      <c r="E44" s="45"/>
      <c r="F44" s="49">
        <f t="shared" ref="F44:L44" si="2">F41+F42+F43</f>
        <v>75762062</v>
      </c>
      <c r="G44" s="49">
        <f t="shared" si="2"/>
        <v>322165</v>
      </c>
      <c r="H44" s="49">
        <f t="shared" si="2"/>
        <v>9903118</v>
      </c>
      <c r="I44" s="49">
        <f t="shared" si="2"/>
        <v>4495</v>
      </c>
      <c r="J44" s="49">
        <f t="shared" si="2"/>
        <v>29677761</v>
      </c>
      <c r="K44" s="49">
        <f>K41+K42+K43</f>
        <v>2405572</v>
      </c>
      <c r="L44" s="49">
        <f t="shared" si="2"/>
        <v>2497050</v>
      </c>
      <c r="M44" s="80">
        <f>SUM(M41:M43)</f>
        <v>1312288</v>
      </c>
      <c r="N44" s="80">
        <f>SUM(N41:N43)</f>
        <v>24221010</v>
      </c>
      <c r="O44" s="49">
        <f>O41+O42+O43</f>
        <v>5353846</v>
      </c>
      <c r="P44" s="49">
        <f>P41+P42+P43</f>
        <v>57480</v>
      </c>
      <c r="Q44" s="81">
        <f>Q41+Q42+Q43</f>
        <v>7277</v>
      </c>
    </row>
    <row r="45" spans="5:17" ht="15.95" customHeight="1" x14ac:dyDescent="0.25">
      <c r="E45" s="45" t="s">
        <v>32</v>
      </c>
      <c r="F45" s="49">
        <f>SUM(G45:Q45)</f>
        <v>27528908</v>
      </c>
      <c r="G45" s="49">
        <v>97423</v>
      </c>
      <c r="H45" s="49">
        <v>3799266</v>
      </c>
      <c r="I45" s="49">
        <v>401</v>
      </c>
      <c r="J45" s="49">
        <v>7860986</v>
      </c>
      <c r="K45" s="49">
        <v>1999777</v>
      </c>
      <c r="L45" s="49">
        <v>1775012</v>
      </c>
      <c r="M45" s="80">
        <v>409547</v>
      </c>
      <c r="N45" s="80">
        <v>9864208</v>
      </c>
      <c r="O45" s="49">
        <v>1700596</v>
      </c>
      <c r="P45" s="83">
        <v>0</v>
      </c>
      <c r="Q45" s="81">
        <v>21692</v>
      </c>
    </row>
    <row r="46" spans="5:17" ht="15.95" customHeight="1" x14ac:dyDescent="0.25">
      <c r="E46" s="45" t="s">
        <v>41</v>
      </c>
      <c r="F46" s="49">
        <f>SUM(G46:Q46)</f>
        <v>29568424</v>
      </c>
      <c r="G46" s="49">
        <v>90739</v>
      </c>
      <c r="H46" s="49">
        <v>4235670</v>
      </c>
      <c r="I46" s="49">
        <v>796</v>
      </c>
      <c r="J46" s="49">
        <v>8323991</v>
      </c>
      <c r="K46" s="49">
        <v>1772712</v>
      </c>
      <c r="L46" s="49">
        <v>1975561</v>
      </c>
      <c r="M46" s="80">
        <v>520473</v>
      </c>
      <c r="N46" s="80">
        <v>10825858</v>
      </c>
      <c r="O46" s="49">
        <v>1803253</v>
      </c>
      <c r="P46" s="83">
        <v>0</v>
      </c>
      <c r="Q46" s="81">
        <v>19371</v>
      </c>
    </row>
    <row r="47" spans="5:17" ht="15.95" customHeight="1" x14ac:dyDescent="0.25">
      <c r="E47" s="45" t="s">
        <v>34</v>
      </c>
      <c r="F47" s="49">
        <f>SUM(G47:Q47)</f>
        <v>27522252</v>
      </c>
      <c r="G47" s="49">
        <v>94828</v>
      </c>
      <c r="H47" s="49">
        <v>3730731</v>
      </c>
      <c r="I47" s="49">
        <v>417</v>
      </c>
      <c r="J47" s="49">
        <v>8042082</v>
      </c>
      <c r="K47" s="49">
        <v>1890309</v>
      </c>
      <c r="L47" s="49">
        <v>1633289</v>
      </c>
      <c r="M47" s="80">
        <v>459686</v>
      </c>
      <c r="N47" s="80">
        <v>9868979</v>
      </c>
      <c r="O47" s="49">
        <v>1795857</v>
      </c>
      <c r="P47" s="83">
        <v>0</v>
      </c>
      <c r="Q47" s="81">
        <v>6074</v>
      </c>
    </row>
    <row r="48" spans="5:17" ht="15.95" customHeight="1" x14ac:dyDescent="0.25">
      <c r="E48" s="45"/>
      <c r="F48" s="49">
        <f t="shared" ref="F48:P48" si="3">F45+F46+F47</f>
        <v>84619584</v>
      </c>
      <c r="G48" s="49">
        <f t="shared" si="3"/>
        <v>282990</v>
      </c>
      <c r="H48" s="49">
        <f t="shared" si="3"/>
        <v>11765667</v>
      </c>
      <c r="I48" s="49">
        <f t="shared" si="3"/>
        <v>1614</v>
      </c>
      <c r="J48" s="49">
        <f t="shared" si="3"/>
        <v>24227059</v>
      </c>
      <c r="K48" s="49">
        <f>K45+K46+K47</f>
        <v>5662798</v>
      </c>
      <c r="L48" s="49">
        <f t="shared" si="3"/>
        <v>5383862</v>
      </c>
      <c r="M48" s="80">
        <f>SUM(M45:M47)</f>
        <v>1389706</v>
      </c>
      <c r="N48" s="80">
        <f>SUM(N45:N47)</f>
        <v>30559045</v>
      </c>
      <c r="O48" s="49">
        <f t="shared" si="3"/>
        <v>5299706</v>
      </c>
      <c r="P48" s="49">
        <f t="shared" si="3"/>
        <v>0</v>
      </c>
      <c r="Q48" s="81">
        <f>Q45+Q46+Q47</f>
        <v>47137</v>
      </c>
    </row>
    <row r="49" spans="5:17" ht="15.95" customHeight="1" x14ac:dyDescent="0.25">
      <c r="E49" s="45" t="s">
        <v>35</v>
      </c>
      <c r="F49" s="49">
        <f>SUM(G49:Q49)</f>
        <v>24960492</v>
      </c>
      <c r="G49" s="49">
        <v>94465</v>
      </c>
      <c r="H49" s="49">
        <v>3400793</v>
      </c>
      <c r="I49" s="49">
        <v>0</v>
      </c>
      <c r="J49" s="49">
        <v>7237879</v>
      </c>
      <c r="K49" s="49">
        <v>1616193</v>
      </c>
      <c r="L49" s="49">
        <v>1674633</v>
      </c>
      <c r="M49" s="80">
        <v>530797</v>
      </c>
      <c r="N49" s="80">
        <v>8620745</v>
      </c>
      <c r="O49" s="49">
        <v>1756965</v>
      </c>
      <c r="P49" s="83">
        <v>0</v>
      </c>
      <c r="Q49" s="81">
        <v>28022</v>
      </c>
    </row>
    <row r="50" spans="5:17" ht="15.95" customHeight="1" x14ac:dyDescent="0.25">
      <c r="E50" s="45" t="s">
        <v>36</v>
      </c>
      <c r="F50" s="49">
        <f>SUM(G50:Q50)</f>
        <v>22977303</v>
      </c>
      <c r="G50" s="49">
        <v>101561</v>
      </c>
      <c r="H50" s="49">
        <v>3081214</v>
      </c>
      <c r="I50" s="49">
        <v>0</v>
      </c>
      <c r="J50" s="49">
        <v>7064871</v>
      </c>
      <c r="K50" s="49">
        <v>1425077</v>
      </c>
      <c r="L50" s="49">
        <v>1566067</v>
      </c>
      <c r="M50" s="80">
        <v>407713</v>
      </c>
      <c r="N50" s="80">
        <v>7622859</v>
      </c>
      <c r="O50" s="49">
        <v>1685420</v>
      </c>
      <c r="P50" s="83">
        <v>0</v>
      </c>
      <c r="Q50" s="81">
        <v>22521</v>
      </c>
    </row>
    <row r="51" spans="5:17" ht="15.95" customHeight="1" x14ac:dyDescent="0.25">
      <c r="E51" s="45" t="s">
        <v>37</v>
      </c>
      <c r="F51" s="49">
        <f>SUM(G51:Q51)</f>
        <v>22841221</v>
      </c>
      <c r="G51" s="49">
        <v>85772</v>
      </c>
      <c r="H51" s="49">
        <v>2920351</v>
      </c>
      <c r="I51" s="49">
        <v>833</v>
      </c>
      <c r="J51" s="49">
        <v>6949312</v>
      </c>
      <c r="K51" s="49">
        <v>1685172</v>
      </c>
      <c r="L51" s="49">
        <v>1487723</v>
      </c>
      <c r="M51" s="80">
        <v>468988</v>
      </c>
      <c r="N51" s="80">
        <v>7419152</v>
      </c>
      <c r="O51" s="49">
        <v>1822164</v>
      </c>
      <c r="P51" s="83">
        <v>0</v>
      </c>
      <c r="Q51" s="81">
        <v>1754</v>
      </c>
    </row>
    <row r="52" spans="5:17" ht="15.95" customHeight="1" x14ac:dyDescent="0.25">
      <c r="E52" s="45"/>
      <c r="F52" s="49">
        <f t="shared" ref="F52:P52" si="4">F49+F50+F51</f>
        <v>70779016</v>
      </c>
      <c r="G52" s="49">
        <f t="shared" si="4"/>
        <v>281798</v>
      </c>
      <c r="H52" s="49">
        <f t="shared" si="4"/>
        <v>9402358</v>
      </c>
      <c r="I52" s="49">
        <f t="shared" si="4"/>
        <v>833</v>
      </c>
      <c r="J52" s="49">
        <f t="shared" si="4"/>
        <v>21252062</v>
      </c>
      <c r="K52" s="49">
        <f>K49+K50+K51</f>
        <v>4726442</v>
      </c>
      <c r="L52" s="49">
        <f t="shared" si="4"/>
        <v>4728423</v>
      </c>
      <c r="M52" s="80">
        <f>SUM(M49:M51)</f>
        <v>1407498</v>
      </c>
      <c r="N52" s="82">
        <f>SUM(N49:N51)</f>
        <v>23662756</v>
      </c>
      <c r="O52" s="49">
        <f t="shared" si="4"/>
        <v>5264549</v>
      </c>
      <c r="P52" s="49">
        <f t="shared" si="4"/>
        <v>0</v>
      </c>
      <c r="Q52" s="81">
        <f>Q49+Q50+Q51</f>
        <v>52297</v>
      </c>
    </row>
    <row r="53" spans="5:17" ht="15.95" customHeight="1" x14ac:dyDescent="0.25">
      <c r="E53" s="70" t="s">
        <v>38</v>
      </c>
      <c r="F53" s="49">
        <f t="shared" ref="F53:P53" si="5">F37+F38+F39+F41+F42+F43+F45+F46+F47+F49+F50+F51</f>
        <v>298501872</v>
      </c>
      <c r="G53" s="49">
        <f t="shared" si="5"/>
        <v>1322456</v>
      </c>
      <c r="H53" s="49">
        <f t="shared" si="5"/>
        <v>39610014</v>
      </c>
      <c r="I53" s="49">
        <f t="shared" si="5"/>
        <v>9357</v>
      </c>
      <c r="J53" s="49">
        <f t="shared" si="5"/>
        <v>100143785</v>
      </c>
      <c r="K53" s="49">
        <f>K37+K38+K39+K41+K42+K43+K45+K46+K47+K49+K50+K51</f>
        <v>12794812</v>
      </c>
      <c r="L53" s="49">
        <f t="shared" si="5"/>
        <v>16952999</v>
      </c>
      <c r="M53" s="49">
        <f t="shared" si="5"/>
        <v>5413088</v>
      </c>
      <c r="N53" s="83">
        <f t="shared" si="5"/>
        <v>98964314</v>
      </c>
      <c r="O53" s="49">
        <f t="shared" si="5"/>
        <v>23107546</v>
      </c>
      <c r="P53" s="49">
        <f t="shared" si="5"/>
        <v>57480</v>
      </c>
      <c r="Q53" s="81">
        <f>Q37+Q38+Q39+Q41+Q42+Q43+Q45+Q46+Q47+Q49+Q50+Q51</f>
        <v>126021</v>
      </c>
    </row>
    <row r="54" spans="5:17" ht="15.95" customHeight="1" thickBot="1" x14ac:dyDescent="0.3">
      <c r="E54" s="58"/>
      <c r="F54" s="26"/>
      <c r="G54" s="27"/>
      <c r="H54" s="27"/>
      <c r="I54" s="27"/>
      <c r="J54" s="27"/>
      <c r="K54" s="27"/>
      <c r="L54" s="27"/>
      <c r="M54" s="27"/>
      <c r="N54" s="28"/>
      <c r="O54" s="27"/>
      <c r="P54" s="28"/>
      <c r="Q54" s="67"/>
    </row>
    <row r="55" spans="5:17" ht="16.5" thickTop="1" x14ac:dyDescent="0.25">
      <c r="F55" s="59"/>
      <c r="G55" s="60"/>
      <c r="H55" s="60"/>
      <c r="I55" s="60"/>
      <c r="J55" s="60"/>
      <c r="K55" s="60"/>
      <c r="L55" s="60"/>
      <c r="M55" s="60"/>
      <c r="N55" s="60"/>
      <c r="O55" s="60"/>
      <c r="P55" s="37"/>
    </row>
    <row r="56" spans="5:17" ht="15.75" x14ac:dyDescent="0.25">
      <c r="E56" s="33" t="s">
        <v>23</v>
      </c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37"/>
    </row>
    <row r="57" spans="5:17" ht="15.75" x14ac:dyDescent="0.25">
      <c r="E57" s="61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37"/>
    </row>
    <row r="58" spans="5:17" ht="15.75" x14ac:dyDescent="0.25">
      <c r="F58" s="59"/>
      <c r="G58" s="60"/>
      <c r="H58" s="60"/>
      <c r="I58" s="60"/>
      <c r="J58" s="60"/>
      <c r="K58" s="60"/>
      <c r="L58" s="60"/>
      <c r="M58" s="60"/>
      <c r="N58" s="60"/>
      <c r="O58" s="60"/>
    </row>
    <row r="59" spans="5:17" ht="15.75" x14ac:dyDescent="0.25">
      <c r="F59" s="59"/>
      <c r="G59" s="60"/>
      <c r="H59" s="60"/>
      <c r="I59" s="60"/>
      <c r="J59" s="60"/>
      <c r="K59" s="60"/>
      <c r="L59" s="60"/>
      <c r="M59" s="60"/>
      <c r="N59" s="60"/>
      <c r="O59" s="60"/>
    </row>
    <row r="60" spans="5:17" ht="15.75" x14ac:dyDescent="0.25">
      <c r="F60" s="59"/>
      <c r="G60" s="60"/>
      <c r="H60" s="60"/>
      <c r="I60" s="60"/>
      <c r="J60" s="60"/>
      <c r="K60" s="60"/>
      <c r="L60" s="60"/>
      <c r="M60" s="60"/>
      <c r="N60" s="60"/>
      <c r="O60" s="60"/>
    </row>
    <row r="61" spans="5:17" ht="15.75" x14ac:dyDescent="0.25">
      <c r="F61" s="59"/>
      <c r="G61" s="60"/>
      <c r="H61" s="60"/>
      <c r="I61" s="60"/>
      <c r="J61" s="60"/>
      <c r="K61" s="60"/>
      <c r="L61" s="60"/>
      <c r="M61" s="60"/>
      <c r="N61" s="60"/>
      <c r="O61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D3" transitionEvaluation="1"/>
  <dimension ref="A1:N432"/>
  <sheetViews>
    <sheetView showGridLines="0" topLeftCell="D3" workbookViewId="0">
      <selection activeCell="H26" sqref="H26:N26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15.28515625" style="1" customWidth="1"/>
    <col min="11" max="11" width="14.5703125" style="1" customWidth="1"/>
    <col min="12" max="12" width="15" style="1" customWidth="1"/>
    <col min="13" max="13" width="14.5703125" style="1" customWidth="1"/>
    <col min="14" max="14" width="14.28515625" style="1" customWidth="1"/>
    <col min="15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15.28515625" style="1" customWidth="1"/>
    <col min="267" max="267" width="14.5703125" style="1" customWidth="1"/>
    <col min="268" max="268" width="15" style="1" customWidth="1"/>
    <col min="269" max="269" width="14.5703125" style="1" customWidth="1"/>
    <col min="270" max="270" width="14.28515625" style="1" customWidth="1"/>
    <col min="271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15.28515625" style="1" customWidth="1"/>
    <col min="523" max="523" width="14.5703125" style="1" customWidth="1"/>
    <col min="524" max="524" width="15" style="1" customWidth="1"/>
    <col min="525" max="525" width="14.5703125" style="1" customWidth="1"/>
    <col min="526" max="526" width="14.28515625" style="1" customWidth="1"/>
    <col min="527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15.28515625" style="1" customWidth="1"/>
    <col min="779" max="779" width="14.5703125" style="1" customWidth="1"/>
    <col min="780" max="780" width="15" style="1" customWidth="1"/>
    <col min="781" max="781" width="14.5703125" style="1" customWidth="1"/>
    <col min="782" max="782" width="14.28515625" style="1" customWidth="1"/>
    <col min="783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15.28515625" style="1" customWidth="1"/>
    <col min="1035" max="1035" width="14.5703125" style="1" customWidth="1"/>
    <col min="1036" max="1036" width="15" style="1" customWidth="1"/>
    <col min="1037" max="1037" width="14.5703125" style="1" customWidth="1"/>
    <col min="1038" max="1038" width="14.28515625" style="1" customWidth="1"/>
    <col min="1039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15.28515625" style="1" customWidth="1"/>
    <col min="1291" max="1291" width="14.5703125" style="1" customWidth="1"/>
    <col min="1292" max="1292" width="15" style="1" customWidth="1"/>
    <col min="1293" max="1293" width="14.5703125" style="1" customWidth="1"/>
    <col min="1294" max="1294" width="14.28515625" style="1" customWidth="1"/>
    <col min="1295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15.28515625" style="1" customWidth="1"/>
    <col min="1547" max="1547" width="14.5703125" style="1" customWidth="1"/>
    <col min="1548" max="1548" width="15" style="1" customWidth="1"/>
    <col min="1549" max="1549" width="14.5703125" style="1" customWidth="1"/>
    <col min="1550" max="1550" width="14.28515625" style="1" customWidth="1"/>
    <col min="1551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15.28515625" style="1" customWidth="1"/>
    <col min="1803" max="1803" width="14.5703125" style="1" customWidth="1"/>
    <col min="1804" max="1804" width="15" style="1" customWidth="1"/>
    <col min="1805" max="1805" width="14.5703125" style="1" customWidth="1"/>
    <col min="1806" max="1806" width="14.28515625" style="1" customWidth="1"/>
    <col min="1807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15.28515625" style="1" customWidth="1"/>
    <col min="2059" max="2059" width="14.5703125" style="1" customWidth="1"/>
    <col min="2060" max="2060" width="15" style="1" customWidth="1"/>
    <col min="2061" max="2061" width="14.5703125" style="1" customWidth="1"/>
    <col min="2062" max="2062" width="14.28515625" style="1" customWidth="1"/>
    <col min="2063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15.28515625" style="1" customWidth="1"/>
    <col min="2315" max="2315" width="14.5703125" style="1" customWidth="1"/>
    <col min="2316" max="2316" width="15" style="1" customWidth="1"/>
    <col min="2317" max="2317" width="14.5703125" style="1" customWidth="1"/>
    <col min="2318" max="2318" width="14.28515625" style="1" customWidth="1"/>
    <col min="2319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15.28515625" style="1" customWidth="1"/>
    <col min="2571" max="2571" width="14.5703125" style="1" customWidth="1"/>
    <col min="2572" max="2572" width="15" style="1" customWidth="1"/>
    <col min="2573" max="2573" width="14.5703125" style="1" customWidth="1"/>
    <col min="2574" max="2574" width="14.28515625" style="1" customWidth="1"/>
    <col min="2575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15.28515625" style="1" customWidth="1"/>
    <col min="2827" max="2827" width="14.5703125" style="1" customWidth="1"/>
    <col min="2828" max="2828" width="15" style="1" customWidth="1"/>
    <col min="2829" max="2829" width="14.5703125" style="1" customWidth="1"/>
    <col min="2830" max="2830" width="14.28515625" style="1" customWidth="1"/>
    <col min="2831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15.28515625" style="1" customWidth="1"/>
    <col min="3083" max="3083" width="14.5703125" style="1" customWidth="1"/>
    <col min="3084" max="3084" width="15" style="1" customWidth="1"/>
    <col min="3085" max="3085" width="14.5703125" style="1" customWidth="1"/>
    <col min="3086" max="3086" width="14.28515625" style="1" customWidth="1"/>
    <col min="3087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15.28515625" style="1" customWidth="1"/>
    <col min="3339" max="3339" width="14.5703125" style="1" customWidth="1"/>
    <col min="3340" max="3340" width="15" style="1" customWidth="1"/>
    <col min="3341" max="3341" width="14.5703125" style="1" customWidth="1"/>
    <col min="3342" max="3342" width="14.28515625" style="1" customWidth="1"/>
    <col min="3343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15.28515625" style="1" customWidth="1"/>
    <col min="3595" max="3595" width="14.5703125" style="1" customWidth="1"/>
    <col min="3596" max="3596" width="15" style="1" customWidth="1"/>
    <col min="3597" max="3597" width="14.5703125" style="1" customWidth="1"/>
    <col min="3598" max="3598" width="14.28515625" style="1" customWidth="1"/>
    <col min="3599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15.28515625" style="1" customWidth="1"/>
    <col min="3851" max="3851" width="14.5703125" style="1" customWidth="1"/>
    <col min="3852" max="3852" width="15" style="1" customWidth="1"/>
    <col min="3853" max="3853" width="14.5703125" style="1" customWidth="1"/>
    <col min="3854" max="3854" width="14.28515625" style="1" customWidth="1"/>
    <col min="3855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15.28515625" style="1" customWidth="1"/>
    <col min="4107" max="4107" width="14.5703125" style="1" customWidth="1"/>
    <col min="4108" max="4108" width="15" style="1" customWidth="1"/>
    <col min="4109" max="4109" width="14.5703125" style="1" customWidth="1"/>
    <col min="4110" max="4110" width="14.28515625" style="1" customWidth="1"/>
    <col min="4111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15.28515625" style="1" customWidth="1"/>
    <col min="4363" max="4363" width="14.5703125" style="1" customWidth="1"/>
    <col min="4364" max="4364" width="15" style="1" customWidth="1"/>
    <col min="4365" max="4365" width="14.5703125" style="1" customWidth="1"/>
    <col min="4366" max="4366" width="14.28515625" style="1" customWidth="1"/>
    <col min="4367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15.28515625" style="1" customWidth="1"/>
    <col min="4619" max="4619" width="14.5703125" style="1" customWidth="1"/>
    <col min="4620" max="4620" width="15" style="1" customWidth="1"/>
    <col min="4621" max="4621" width="14.5703125" style="1" customWidth="1"/>
    <col min="4622" max="4622" width="14.28515625" style="1" customWidth="1"/>
    <col min="4623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15.28515625" style="1" customWidth="1"/>
    <col min="4875" max="4875" width="14.5703125" style="1" customWidth="1"/>
    <col min="4876" max="4876" width="15" style="1" customWidth="1"/>
    <col min="4877" max="4877" width="14.5703125" style="1" customWidth="1"/>
    <col min="4878" max="4878" width="14.28515625" style="1" customWidth="1"/>
    <col min="4879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15.28515625" style="1" customWidth="1"/>
    <col min="5131" max="5131" width="14.5703125" style="1" customWidth="1"/>
    <col min="5132" max="5132" width="15" style="1" customWidth="1"/>
    <col min="5133" max="5133" width="14.5703125" style="1" customWidth="1"/>
    <col min="5134" max="5134" width="14.28515625" style="1" customWidth="1"/>
    <col min="5135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15.28515625" style="1" customWidth="1"/>
    <col min="5387" max="5387" width="14.5703125" style="1" customWidth="1"/>
    <col min="5388" max="5388" width="15" style="1" customWidth="1"/>
    <col min="5389" max="5389" width="14.5703125" style="1" customWidth="1"/>
    <col min="5390" max="5390" width="14.28515625" style="1" customWidth="1"/>
    <col min="5391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15.28515625" style="1" customWidth="1"/>
    <col min="5643" max="5643" width="14.5703125" style="1" customWidth="1"/>
    <col min="5644" max="5644" width="15" style="1" customWidth="1"/>
    <col min="5645" max="5645" width="14.5703125" style="1" customWidth="1"/>
    <col min="5646" max="5646" width="14.28515625" style="1" customWidth="1"/>
    <col min="5647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15.28515625" style="1" customWidth="1"/>
    <col min="5899" max="5899" width="14.5703125" style="1" customWidth="1"/>
    <col min="5900" max="5900" width="15" style="1" customWidth="1"/>
    <col min="5901" max="5901" width="14.5703125" style="1" customWidth="1"/>
    <col min="5902" max="5902" width="14.28515625" style="1" customWidth="1"/>
    <col min="5903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15.28515625" style="1" customWidth="1"/>
    <col min="6155" max="6155" width="14.5703125" style="1" customWidth="1"/>
    <col min="6156" max="6156" width="15" style="1" customWidth="1"/>
    <col min="6157" max="6157" width="14.5703125" style="1" customWidth="1"/>
    <col min="6158" max="6158" width="14.28515625" style="1" customWidth="1"/>
    <col min="6159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15.28515625" style="1" customWidth="1"/>
    <col min="6411" max="6411" width="14.5703125" style="1" customWidth="1"/>
    <col min="6412" max="6412" width="15" style="1" customWidth="1"/>
    <col min="6413" max="6413" width="14.5703125" style="1" customWidth="1"/>
    <col min="6414" max="6414" width="14.28515625" style="1" customWidth="1"/>
    <col min="6415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15.28515625" style="1" customWidth="1"/>
    <col min="6667" max="6667" width="14.5703125" style="1" customWidth="1"/>
    <col min="6668" max="6668" width="15" style="1" customWidth="1"/>
    <col min="6669" max="6669" width="14.5703125" style="1" customWidth="1"/>
    <col min="6670" max="6670" width="14.28515625" style="1" customWidth="1"/>
    <col min="6671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15.28515625" style="1" customWidth="1"/>
    <col min="6923" max="6923" width="14.5703125" style="1" customWidth="1"/>
    <col min="6924" max="6924" width="15" style="1" customWidth="1"/>
    <col min="6925" max="6925" width="14.5703125" style="1" customWidth="1"/>
    <col min="6926" max="6926" width="14.28515625" style="1" customWidth="1"/>
    <col min="6927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15.28515625" style="1" customWidth="1"/>
    <col min="7179" max="7179" width="14.5703125" style="1" customWidth="1"/>
    <col min="7180" max="7180" width="15" style="1" customWidth="1"/>
    <col min="7181" max="7181" width="14.5703125" style="1" customWidth="1"/>
    <col min="7182" max="7182" width="14.28515625" style="1" customWidth="1"/>
    <col min="7183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15.28515625" style="1" customWidth="1"/>
    <col min="7435" max="7435" width="14.5703125" style="1" customWidth="1"/>
    <col min="7436" max="7436" width="15" style="1" customWidth="1"/>
    <col min="7437" max="7437" width="14.5703125" style="1" customWidth="1"/>
    <col min="7438" max="7438" width="14.28515625" style="1" customWidth="1"/>
    <col min="7439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15.28515625" style="1" customWidth="1"/>
    <col min="7691" max="7691" width="14.5703125" style="1" customWidth="1"/>
    <col min="7692" max="7692" width="15" style="1" customWidth="1"/>
    <col min="7693" max="7693" width="14.5703125" style="1" customWidth="1"/>
    <col min="7694" max="7694" width="14.28515625" style="1" customWidth="1"/>
    <col min="7695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15.28515625" style="1" customWidth="1"/>
    <col min="7947" max="7947" width="14.5703125" style="1" customWidth="1"/>
    <col min="7948" max="7948" width="15" style="1" customWidth="1"/>
    <col min="7949" max="7949" width="14.5703125" style="1" customWidth="1"/>
    <col min="7950" max="7950" width="14.28515625" style="1" customWidth="1"/>
    <col min="7951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15.28515625" style="1" customWidth="1"/>
    <col min="8203" max="8203" width="14.5703125" style="1" customWidth="1"/>
    <col min="8204" max="8204" width="15" style="1" customWidth="1"/>
    <col min="8205" max="8205" width="14.5703125" style="1" customWidth="1"/>
    <col min="8206" max="8206" width="14.28515625" style="1" customWidth="1"/>
    <col min="8207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15.28515625" style="1" customWidth="1"/>
    <col min="8459" max="8459" width="14.5703125" style="1" customWidth="1"/>
    <col min="8460" max="8460" width="15" style="1" customWidth="1"/>
    <col min="8461" max="8461" width="14.5703125" style="1" customWidth="1"/>
    <col min="8462" max="8462" width="14.28515625" style="1" customWidth="1"/>
    <col min="8463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15.28515625" style="1" customWidth="1"/>
    <col min="8715" max="8715" width="14.5703125" style="1" customWidth="1"/>
    <col min="8716" max="8716" width="15" style="1" customWidth="1"/>
    <col min="8717" max="8717" width="14.5703125" style="1" customWidth="1"/>
    <col min="8718" max="8718" width="14.28515625" style="1" customWidth="1"/>
    <col min="8719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15.28515625" style="1" customWidth="1"/>
    <col min="8971" max="8971" width="14.5703125" style="1" customWidth="1"/>
    <col min="8972" max="8972" width="15" style="1" customWidth="1"/>
    <col min="8973" max="8973" width="14.5703125" style="1" customWidth="1"/>
    <col min="8974" max="8974" width="14.28515625" style="1" customWidth="1"/>
    <col min="8975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15.28515625" style="1" customWidth="1"/>
    <col min="9227" max="9227" width="14.5703125" style="1" customWidth="1"/>
    <col min="9228" max="9228" width="15" style="1" customWidth="1"/>
    <col min="9229" max="9229" width="14.5703125" style="1" customWidth="1"/>
    <col min="9230" max="9230" width="14.28515625" style="1" customWidth="1"/>
    <col min="9231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15.28515625" style="1" customWidth="1"/>
    <col min="9483" max="9483" width="14.5703125" style="1" customWidth="1"/>
    <col min="9484" max="9484" width="15" style="1" customWidth="1"/>
    <col min="9485" max="9485" width="14.5703125" style="1" customWidth="1"/>
    <col min="9486" max="9486" width="14.28515625" style="1" customWidth="1"/>
    <col min="9487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15.28515625" style="1" customWidth="1"/>
    <col min="9739" max="9739" width="14.5703125" style="1" customWidth="1"/>
    <col min="9740" max="9740" width="15" style="1" customWidth="1"/>
    <col min="9741" max="9741" width="14.5703125" style="1" customWidth="1"/>
    <col min="9742" max="9742" width="14.28515625" style="1" customWidth="1"/>
    <col min="9743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15.28515625" style="1" customWidth="1"/>
    <col min="9995" max="9995" width="14.5703125" style="1" customWidth="1"/>
    <col min="9996" max="9996" width="15" style="1" customWidth="1"/>
    <col min="9997" max="9997" width="14.5703125" style="1" customWidth="1"/>
    <col min="9998" max="9998" width="14.28515625" style="1" customWidth="1"/>
    <col min="9999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15.28515625" style="1" customWidth="1"/>
    <col min="10251" max="10251" width="14.5703125" style="1" customWidth="1"/>
    <col min="10252" max="10252" width="15" style="1" customWidth="1"/>
    <col min="10253" max="10253" width="14.5703125" style="1" customWidth="1"/>
    <col min="10254" max="10254" width="14.28515625" style="1" customWidth="1"/>
    <col min="10255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15.28515625" style="1" customWidth="1"/>
    <col min="10507" max="10507" width="14.5703125" style="1" customWidth="1"/>
    <col min="10508" max="10508" width="15" style="1" customWidth="1"/>
    <col min="10509" max="10509" width="14.5703125" style="1" customWidth="1"/>
    <col min="10510" max="10510" width="14.28515625" style="1" customWidth="1"/>
    <col min="10511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15.28515625" style="1" customWidth="1"/>
    <col min="10763" max="10763" width="14.5703125" style="1" customWidth="1"/>
    <col min="10764" max="10764" width="15" style="1" customWidth="1"/>
    <col min="10765" max="10765" width="14.5703125" style="1" customWidth="1"/>
    <col min="10766" max="10766" width="14.28515625" style="1" customWidth="1"/>
    <col min="10767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15.28515625" style="1" customWidth="1"/>
    <col min="11019" max="11019" width="14.5703125" style="1" customWidth="1"/>
    <col min="11020" max="11020" width="15" style="1" customWidth="1"/>
    <col min="11021" max="11021" width="14.5703125" style="1" customWidth="1"/>
    <col min="11022" max="11022" width="14.28515625" style="1" customWidth="1"/>
    <col min="11023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15.28515625" style="1" customWidth="1"/>
    <col min="11275" max="11275" width="14.5703125" style="1" customWidth="1"/>
    <col min="11276" max="11276" width="15" style="1" customWidth="1"/>
    <col min="11277" max="11277" width="14.5703125" style="1" customWidth="1"/>
    <col min="11278" max="11278" width="14.28515625" style="1" customWidth="1"/>
    <col min="11279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15.28515625" style="1" customWidth="1"/>
    <col min="11531" max="11531" width="14.5703125" style="1" customWidth="1"/>
    <col min="11532" max="11532" width="15" style="1" customWidth="1"/>
    <col min="11533" max="11533" width="14.5703125" style="1" customWidth="1"/>
    <col min="11534" max="11534" width="14.28515625" style="1" customWidth="1"/>
    <col min="11535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15.28515625" style="1" customWidth="1"/>
    <col min="11787" max="11787" width="14.5703125" style="1" customWidth="1"/>
    <col min="11788" max="11788" width="15" style="1" customWidth="1"/>
    <col min="11789" max="11789" width="14.5703125" style="1" customWidth="1"/>
    <col min="11790" max="11790" width="14.28515625" style="1" customWidth="1"/>
    <col min="11791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15.28515625" style="1" customWidth="1"/>
    <col min="12043" max="12043" width="14.5703125" style="1" customWidth="1"/>
    <col min="12044" max="12044" width="15" style="1" customWidth="1"/>
    <col min="12045" max="12045" width="14.5703125" style="1" customWidth="1"/>
    <col min="12046" max="12046" width="14.28515625" style="1" customWidth="1"/>
    <col min="12047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15.28515625" style="1" customWidth="1"/>
    <col min="12299" max="12299" width="14.5703125" style="1" customWidth="1"/>
    <col min="12300" max="12300" width="15" style="1" customWidth="1"/>
    <col min="12301" max="12301" width="14.5703125" style="1" customWidth="1"/>
    <col min="12302" max="12302" width="14.28515625" style="1" customWidth="1"/>
    <col min="12303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15.28515625" style="1" customWidth="1"/>
    <col min="12555" max="12555" width="14.5703125" style="1" customWidth="1"/>
    <col min="12556" max="12556" width="15" style="1" customWidth="1"/>
    <col min="12557" max="12557" width="14.5703125" style="1" customWidth="1"/>
    <col min="12558" max="12558" width="14.28515625" style="1" customWidth="1"/>
    <col min="12559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15.28515625" style="1" customWidth="1"/>
    <col min="12811" max="12811" width="14.5703125" style="1" customWidth="1"/>
    <col min="12812" max="12812" width="15" style="1" customWidth="1"/>
    <col min="12813" max="12813" width="14.5703125" style="1" customWidth="1"/>
    <col min="12814" max="12814" width="14.28515625" style="1" customWidth="1"/>
    <col min="12815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15.28515625" style="1" customWidth="1"/>
    <col min="13067" max="13067" width="14.5703125" style="1" customWidth="1"/>
    <col min="13068" max="13068" width="15" style="1" customWidth="1"/>
    <col min="13069" max="13069" width="14.5703125" style="1" customWidth="1"/>
    <col min="13070" max="13070" width="14.28515625" style="1" customWidth="1"/>
    <col min="13071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15.28515625" style="1" customWidth="1"/>
    <col min="13323" max="13323" width="14.5703125" style="1" customWidth="1"/>
    <col min="13324" max="13324" width="15" style="1" customWidth="1"/>
    <col min="13325" max="13325" width="14.5703125" style="1" customWidth="1"/>
    <col min="13326" max="13326" width="14.28515625" style="1" customWidth="1"/>
    <col min="13327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15.28515625" style="1" customWidth="1"/>
    <col min="13579" max="13579" width="14.5703125" style="1" customWidth="1"/>
    <col min="13580" max="13580" width="15" style="1" customWidth="1"/>
    <col min="13581" max="13581" width="14.5703125" style="1" customWidth="1"/>
    <col min="13582" max="13582" width="14.28515625" style="1" customWidth="1"/>
    <col min="13583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15.28515625" style="1" customWidth="1"/>
    <col min="13835" max="13835" width="14.5703125" style="1" customWidth="1"/>
    <col min="13836" max="13836" width="15" style="1" customWidth="1"/>
    <col min="13837" max="13837" width="14.5703125" style="1" customWidth="1"/>
    <col min="13838" max="13838" width="14.28515625" style="1" customWidth="1"/>
    <col min="13839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15.28515625" style="1" customWidth="1"/>
    <col min="14091" max="14091" width="14.5703125" style="1" customWidth="1"/>
    <col min="14092" max="14092" width="15" style="1" customWidth="1"/>
    <col min="14093" max="14093" width="14.5703125" style="1" customWidth="1"/>
    <col min="14094" max="14094" width="14.28515625" style="1" customWidth="1"/>
    <col min="14095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15.28515625" style="1" customWidth="1"/>
    <col min="14347" max="14347" width="14.5703125" style="1" customWidth="1"/>
    <col min="14348" max="14348" width="15" style="1" customWidth="1"/>
    <col min="14349" max="14349" width="14.5703125" style="1" customWidth="1"/>
    <col min="14350" max="14350" width="14.28515625" style="1" customWidth="1"/>
    <col min="14351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15.28515625" style="1" customWidth="1"/>
    <col min="14603" max="14603" width="14.5703125" style="1" customWidth="1"/>
    <col min="14604" max="14604" width="15" style="1" customWidth="1"/>
    <col min="14605" max="14605" width="14.5703125" style="1" customWidth="1"/>
    <col min="14606" max="14606" width="14.28515625" style="1" customWidth="1"/>
    <col min="14607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15.28515625" style="1" customWidth="1"/>
    <col min="14859" max="14859" width="14.5703125" style="1" customWidth="1"/>
    <col min="14860" max="14860" width="15" style="1" customWidth="1"/>
    <col min="14861" max="14861" width="14.5703125" style="1" customWidth="1"/>
    <col min="14862" max="14862" width="14.28515625" style="1" customWidth="1"/>
    <col min="14863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15.28515625" style="1" customWidth="1"/>
    <col min="15115" max="15115" width="14.5703125" style="1" customWidth="1"/>
    <col min="15116" max="15116" width="15" style="1" customWidth="1"/>
    <col min="15117" max="15117" width="14.5703125" style="1" customWidth="1"/>
    <col min="15118" max="15118" width="14.28515625" style="1" customWidth="1"/>
    <col min="15119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15.28515625" style="1" customWidth="1"/>
    <col min="15371" max="15371" width="14.5703125" style="1" customWidth="1"/>
    <col min="15372" max="15372" width="15" style="1" customWidth="1"/>
    <col min="15373" max="15373" width="14.5703125" style="1" customWidth="1"/>
    <col min="15374" max="15374" width="14.28515625" style="1" customWidth="1"/>
    <col min="15375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15.28515625" style="1" customWidth="1"/>
    <col min="15627" max="15627" width="14.5703125" style="1" customWidth="1"/>
    <col min="15628" max="15628" width="15" style="1" customWidth="1"/>
    <col min="15629" max="15629" width="14.5703125" style="1" customWidth="1"/>
    <col min="15630" max="15630" width="14.28515625" style="1" customWidth="1"/>
    <col min="15631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15.28515625" style="1" customWidth="1"/>
    <col min="15883" max="15883" width="14.5703125" style="1" customWidth="1"/>
    <col min="15884" max="15884" width="15" style="1" customWidth="1"/>
    <col min="15885" max="15885" width="14.5703125" style="1" customWidth="1"/>
    <col min="15886" max="15886" width="14.28515625" style="1" customWidth="1"/>
    <col min="15887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15.28515625" style="1" customWidth="1"/>
    <col min="16139" max="16139" width="14.5703125" style="1" customWidth="1"/>
    <col min="16140" max="16140" width="15" style="1" customWidth="1"/>
    <col min="16141" max="16141" width="14.5703125" style="1" customWidth="1"/>
    <col min="16142" max="16142" width="14.28515625" style="1" customWidth="1"/>
    <col min="16143" max="16384" width="21.5703125" style="1"/>
  </cols>
  <sheetData>
    <row r="1" spans="2:14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</row>
    <row r="2" spans="2:14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</row>
    <row r="3" spans="2:14" ht="15.75" x14ac:dyDescent="0.25">
      <c r="E3" s="6" t="s">
        <v>39</v>
      </c>
      <c r="F3" s="3"/>
      <c r="G3" s="3"/>
      <c r="H3" s="7"/>
      <c r="I3" s="3"/>
      <c r="J3" s="7"/>
      <c r="K3" s="7"/>
      <c r="L3" s="7"/>
      <c r="M3" s="7"/>
      <c r="N3" s="7"/>
    </row>
    <row r="4" spans="2:14" ht="16.5" thickBot="1" x14ac:dyDescent="0.3">
      <c r="F4" s="5"/>
      <c r="G4" s="9"/>
      <c r="H4" s="9"/>
      <c r="I4" s="9"/>
      <c r="J4" s="9"/>
      <c r="K4" s="9"/>
      <c r="L4" s="9"/>
      <c r="M4" s="9"/>
      <c r="N4" s="9"/>
    </row>
    <row r="5" spans="2:14" ht="16.5" thickTop="1" x14ac:dyDescent="0.25">
      <c r="E5" s="11" t="s">
        <v>2</v>
      </c>
      <c r="F5" s="12" t="s">
        <v>3</v>
      </c>
      <c r="G5" s="62" t="s">
        <v>4</v>
      </c>
      <c r="H5" s="62" t="s">
        <v>40</v>
      </c>
      <c r="I5" s="12" t="s">
        <v>6</v>
      </c>
      <c r="J5" s="12" t="s">
        <v>7</v>
      </c>
      <c r="K5" s="12" t="s">
        <v>8</v>
      </c>
      <c r="L5" s="12" t="s">
        <v>9</v>
      </c>
      <c r="M5" s="12" t="s">
        <v>10</v>
      </c>
      <c r="N5" s="63" t="s">
        <v>11</v>
      </c>
    </row>
    <row r="6" spans="2:14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64"/>
    </row>
    <row r="7" spans="2:14" ht="15.75" x14ac:dyDescent="0.25">
      <c r="E7" s="20" t="s">
        <v>13</v>
      </c>
      <c r="F7" s="16">
        <f>G7+H7+I7+J7+K7+L7+M7+N7</f>
        <v>129843474</v>
      </c>
      <c r="G7" s="17">
        <v>10283449</v>
      </c>
      <c r="H7" s="17">
        <v>8864063</v>
      </c>
      <c r="I7" s="17">
        <v>54444</v>
      </c>
      <c r="J7" s="17">
        <v>43812188</v>
      </c>
      <c r="K7" s="17">
        <v>1094912</v>
      </c>
      <c r="L7" s="17">
        <v>13541022</v>
      </c>
      <c r="M7" s="17">
        <v>39402403</v>
      </c>
      <c r="N7" s="64">
        <v>12790993</v>
      </c>
    </row>
    <row r="8" spans="2:14" ht="15.75" x14ac:dyDescent="0.25">
      <c r="E8" s="20"/>
      <c r="F8" s="16"/>
      <c r="G8" s="17"/>
      <c r="H8" s="17"/>
      <c r="I8" s="17"/>
      <c r="J8" s="17"/>
      <c r="K8" s="17"/>
      <c r="L8" s="17"/>
      <c r="M8" s="17"/>
      <c r="N8" s="64"/>
    </row>
    <row r="9" spans="2:14" ht="15.75" x14ac:dyDescent="0.25">
      <c r="E9" s="20" t="s">
        <v>14</v>
      </c>
      <c r="F9" s="16">
        <f>G9+H9+I9+J9+K9+L9+M9+N9</f>
        <v>7515234</v>
      </c>
      <c r="G9" s="17">
        <v>947805</v>
      </c>
      <c r="H9" s="17">
        <v>470595</v>
      </c>
      <c r="I9" s="17">
        <v>1986</v>
      </c>
      <c r="J9" s="17">
        <v>2322914</v>
      </c>
      <c r="K9" s="17">
        <v>3771934</v>
      </c>
      <c r="L9" s="17">
        <v>0</v>
      </c>
      <c r="M9" s="17">
        <v>0</v>
      </c>
      <c r="N9" s="64">
        <v>0</v>
      </c>
    </row>
    <row r="10" spans="2:14" ht="15.75" x14ac:dyDescent="0.25">
      <c r="E10" s="20"/>
      <c r="F10" s="16"/>
      <c r="G10" s="17"/>
      <c r="H10" s="17"/>
      <c r="I10" s="17"/>
      <c r="J10" s="17"/>
      <c r="K10" s="17"/>
      <c r="L10" s="17"/>
      <c r="M10" s="17"/>
      <c r="N10" s="64"/>
    </row>
    <row r="11" spans="2:14" ht="15.75" x14ac:dyDescent="0.25">
      <c r="B11" s="21"/>
      <c r="C11" s="21"/>
      <c r="D11" s="21"/>
      <c r="E11" s="20" t="s">
        <v>15</v>
      </c>
      <c r="F11" s="16">
        <f>G11+H11+I11+J11+K11+L11+M11+N11</f>
        <v>55109404</v>
      </c>
      <c r="G11" s="17">
        <v>5456926</v>
      </c>
      <c r="H11" s="17">
        <v>4595581</v>
      </c>
      <c r="I11" s="17">
        <v>0</v>
      </c>
      <c r="J11" s="17">
        <v>12040000</v>
      </c>
      <c r="K11" s="17">
        <v>0</v>
      </c>
      <c r="L11" s="17">
        <v>4257509</v>
      </c>
      <c r="M11" s="17">
        <v>23086380</v>
      </c>
      <c r="N11" s="64">
        <v>5673008</v>
      </c>
    </row>
    <row r="12" spans="2:14" ht="15.75" x14ac:dyDescent="0.25">
      <c r="E12" s="20" t="s">
        <v>16</v>
      </c>
      <c r="F12" s="16">
        <f>G12+H12+I12+J12+K12+L12+M12+N12</f>
        <v>9663317</v>
      </c>
      <c r="G12" s="17">
        <v>0</v>
      </c>
      <c r="H12" s="17">
        <v>0</v>
      </c>
      <c r="I12" s="17">
        <v>20000</v>
      </c>
      <c r="J12" s="17">
        <v>8496882</v>
      </c>
      <c r="K12" s="17">
        <v>1146435</v>
      </c>
      <c r="L12" s="17">
        <v>0</v>
      </c>
      <c r="M12" s="17">
        <v>0</v>
      </c>
      <c r="N12" s="64">
        <v>0</v>
      </c>
    </row>
    <row r="13" spans="2:14" ht="15.75" x14ac:dyDescent="0.25">
      <c r="E13" s="20"/>
      <c r="F13" s="16"/>
      <c r="G13" s="17"/>
      <c r="H13" s="17"/>
      <c r="I13" s="17"/>
      <c r="J13" s="17"/>
      <c r="K13" s="17"/>
      <c r="L13" s="17"/>
      <c r="M13" s="17"/>
      <c r="N13" s="64"/>
    </row>
    <row r="14" spans="2:14" ht="15.75" x14ac:dyDescent="0.25">
      <c r="E14" s="20" t="s">
        <v>17</v>
      </c>
      <c r="F14" s="16">
        <f>G14+H14+I14+J14+K14+L14+M14+N14</f>
        <v>3832132</v>
      </c>
      <c r="G14" s="17">
        <v>380034</v>
      </c>
      <c r="H14" s="17">
        <v>266889</v>
      </c>
      <c r="I14" s="17">
        <v>0</v>
      </c>
      <c r="J14" s="17">
        <v>1222089</v>
      </c>
      <c r="K14" s="17">
        <v>1963120</v>
      </c>
      <c r="L14" s="17">
        <v>0</v>
      </c>
      <c r="M14" s="17">
        <v>0</v>
      </c>
      <c r="N14" s="64">
        <v>0</v>
      </c>
    </row>
    <row r="15" spans="2:14" ht="15.75" x14ac:dyDescent="0.25">
      <c r="E15" s="20"/>
      <c r="F15" s="16"/>
      <c r="G15" s="17"/>
      <c r="H15" s="17"/>
      <c r="I15" s="17"/>
      <c r="J15" s="17"/>
      <c r="K15" s="17"/>
      <c r="L15" s="17"/>
      <c r="M15" s="17"/>
      <c r="N15" s="64"/>
    </row>
    <row r="16" spans="2:14" ht="15.75" x14ac:dyDescent="0.25">
      <c r="E16" s="20" t="s">
        <v>18</v>
      </c>
      <c r="F16" s="16">
        <f>G16+H16+I16+J16+K16+L16+M16+N16</f>
        <v>9333631</v>
      </c>
      <c r="G16" s="17">
        <v>882839</v>
      </c>
      <c r="H16" s="17">
        <v>486196</v>
      </c>
      <c r="I16" s="17">
        <v>0</v>
      </c>
      <c r="J16" s="17">
        <v>3850788</v>
      </c>
      <c r="K16" s="17">
        <v>4113808</v>
      </c>
      <c r="L16" s="17">
        <v>0</v>
      </c>
      <c r="M16" s="17">
        <v>0</v>
      </c>
      <c r="N16" s="64">
        <v>0</v>
      </c>
    </row>
    <row r="17" spans="5:14" ht="15.75" x14ac:dyDescent="0.25">
      <c r="E17" s="20"/>
      <c r="F17" s="16"/>
      <c r="G17" s="17"/>
      <c r="H17" s="17"/>
      <c r="I17" s="17"/>
      <c r="J17" s="17"/>
      <c r="K17" s="17"/>
      <c r="L17" s="17"/>
      <c r="M17" s="17"/>
      <c r="N17" s="64"/>
    </row>
    <row r="18" spans="5:14" ht="15.75" x14ac:dyDescent="0.25">
      <c r="E18" s="20" t="s">
        <v>19</v>
      </c>
      <c r="F18" s="16">
        <f>G18+H18+I18+J18+K18+L18+M18+N18</f>
        <v>21427200</v>
      </c>
      <c r="G18" s="17">
        <v>1714641</v>
      </c>
      <c r="H18" s="17">
        <v>1237015</v>
      </c>
      <c r="I18" s="17">
        <v>34889</v>
      </c>
      <c r="J18" s="17">
        <v>7438443</v>
      </c>
      <c r="K18" s="17">
        <v>1847488</v>
      </c>
      <c r="L18" s="17">
        <v>579961</v>
      </c>
      <c r="M18" s="17">
        <v>5765589</v>
      </c>
      <c r="N18" s="64">
        <v>2809174</v>
      </c>
    </row>
    <row r="19" spans="5:14" ht="15.75" x14ac:dyDescent="0.25">
      <c r="E19" s="20"/>
      <c r="F19" s="16"/>
      <c r="G19" s="17"/>
      <c r="H19" s="17"/>
      <c r="I19" s="17"/>
      <c r="J19" s="17"/>
      <c r="K19" s="17"/>
      <c r="L19" s="17"/>
      <c r="M19" s="17"/>
      <c r="N19" s="64"/>
    </row>
    <row r="20" spans="5:14" ht="15.75" x14ac:dyDescent="0.25">
      <c r="E20" s="20" t="s">
        <v>20</v>
      </c>
      <c r="F20" s="16">
        <f>G20+H20+I20+J20+K20+L20+M20+N20</f>
        <v>16899759</v>
      </c>
      <c r="G20" s="17">
        <v>1318208</v>
      </c>
      <c r="H20" s="17">
        <v>850651</v>
      </c>
      <c r="I20" s="17">
        <v>0</v>
      </c>
      <c r="J20" s="17">
        <v>8599458</v>
      </c>
      <c r="K20" s="17">
        <v>14969</v>
      </c>
      <c r="L20" s="17">
        <v>593127</v>
      </c>
      <c r="M20" s="17">
        <v>5523346</v>
      </c>
      <c r="N20" s="64">
        <v>0</v>
      </c>
    </row>
    <row r="21" spans="5:14" ht="15.75" x14ac:dyDescent="0.25">
      <c r="E21" s="20"/>
      <c r="F21" s="16"/>
      <c r="G21" s="17"/>
      <c r="H21" s="17"/>
      <c r="I21" s="17"/>
      <c r="J21" s="17"/>
      <c r="K21" s="17"/>
      <c r="L21" s="17"/>
      <c r="M21" s="17"/>
      <c r="N21" s="64"/>
    </row>
    <row r="22" spans="5:14" ht="15.75" x14ac:dyDescent="0.25">
      <c r="E22" s="20" t="s">
        <v>21</v>
      </c>
      <c r="F22" s="16">
        <f>G22+H22+I22+J22+K22+L22+M22+N22</f>
        <v>3265273</v>
      </c>
      <c r="G22" s="17">
        <v>368171</v>
      </c>
      <c r="H22" s="17">
        <v>195919</v>
      </c>
      <c r="I22" s="17">
        <v>0</v>
      </c>
      <c r="J22" s="17">
        <v>1678955</v>
      </c>
      <c r="K22" s="17">
        <v>1022228</v>
      </c>
      <c r="L22" s="17">
        <v>0</v>
      </c>
      <c r="M22" s="17">
        <v>0</v>
      </c>
      <c r="N22" s="64">
        <v>0</v>
      </c>
    </row>
    <row r="23" spans="5:14" ht="15.75" x14ac:dyDescent="0.25">
      <c r="E23" s="20"/>
      <c r="F23" s="16"/>
      <c r="G23" s="17"/>
      <c r="H23" s="17"/>
      <c r="I23" s="17"/>
      <c r="J23" s="17"/>
      <c r="K23" s="17"/>
      <c r="L23" s="17"/>
      <c r="M23" s="17"/>
      <c r="N23" s="64"/>
    </row>
    <row r="24" spans="5:14" ht="15.75" x14ac:dyDescent="0.25">
      <c r="E24" s="20" t="s">
        <v>22</v>
      </c>
      <c r="F24" s="16">
        <f>G24+H24+I24+J24+K24+L24+M24+N24</f>
        <v>366291</v>
      </c>
      <c r="G24" s="17">
        <v>21947</v>
      </c>
      <c r="H24" s="17">
        <v>4025</v>
      </c>
      <c r="I24" s="17">
        <v>0</v>
      </c>
      <c r="J24" s="17">
        <v>83747</v>
      </c>
      <c r="K24" s="17">
        <v>256572</v>
      </c>
      <c r="L24" s="17">
        <v>0</v>
      </c>
      <c r="M24" s="17">
        <v>0</v>
      </c>
      <c r="N24" s="64">
        <v>0</v>
      </c>
    </row>
    <row r="25" spans="5:14" ht="15.75" x14ac:dyDescent="0.25">
      <c r="E25" s="20"/>
      <c r="F25" s="16"/>
      <c r="G25" s="17"/>
      <c r="H25" s="17"/>
      <c r="I25" s="17"/>
      <c r="J25" s="17"/>
      <c r="K25" s="17"/>
      <c r="L25" s="17"/>
      <c r="M25" s="17"/>
      <c r="N25" s="64"/>
    </row>
    <row r="26" spans="5:14" ht="15.75" x14ac:dyDescent="0.25">
      <c r="E26" s="65" t="s">
        <v>3</v>
      </c>
      <c r="F26" s="16">
        <f>F7+F9+F11+F12+F14+F16+F18+F20+F22+F24</f>
        <v>257255715</v>
      </c>
      <c r="G26" s="16">
        <f t="shared" ref="G26:N26" si="0">G7+G9+G11+G12+G14+G16+G18+G20+G22+G24</f>
        <v>21374020</v>
      </c>
      <c r="H26" s="16">
        <f t="shared" si="0"/>
        <v>16970934</v>
      </c>
      <c r="I26" s="16">
        <f t="shared" si="0"/>
        <v>111319</v>
      </c>
      <c r="J26" s="16">
        <f t="shared" si="0"/>
        <v>89545464</v>
      </c>
      <c r="K26" s="16">
        <f t="shared" si="0"/>
        <v>15231466</v>
      </c>
      <c r="L26" s="16">
        <f t="shared" si="0"/>
        <v>18971619</v>
      </c>
      <c r="M26" s="16">
        <f t="shared" si="0"/>
        <v>73777718</v>
      </c>
      <c r="N26" s="66">
        <f t="shared" si="0"/>
        <v>21273175</v>
      </c>
    </row>
    <row r="27" spans="5:14" ht="16.5" thickBot="1" x14ac:dyDescent="0.3">
      <c r="E27" s="25"/>
      <c r="F27" s="26"/>
      <c r="G27" s="27"/>
      <c r="H27" s="27"/>
      <c r="I27" s="27"/>
      <c r="J27" s="27"/>
      <c r="K27" s="27"/>
      <c r="L27" s="27"/>
      <c r="M27" s="27"/>
      <c r="N27" s="67"/>
    </row>
    <row r="28" spans="5:14" ht="16.5" thickTop="1" x14ac:dyDescent="0.25">
      <c r="F28" s="30"/>
      <c r="G28" s="31"/>
      <c r="H28" s="31"/>
      <c r="I28" s="31"/>
      <c r="J28" s="31"/>
      <c r="K28" s="31"/>
      <c r="L28" s="31"/>
      <c r="M28" s="31"/>
      <c r="N28" s="31"/>
    </row>
    <row r="29" spans="5:14" ht="15.75" x14ac:dyDescent="0.25">
      <c r="E29" s="33" t="s">
        <v>23</v>
      </c>
      <c r="F29" s="34"/>
      <c r="G29" s="35"/>
      <c r="H29" s="35"/>
      <c r="I29" s="35"/>
      <c r="J29" s="35"/>
      <c r="K29" s="35"/>
      <c r="L29" s="35"/>
      <c r="M29" s="35"/>
      <c r="N29" s="35"/>
    </row>
    <row r="30" spans="5:14" ht="15.75" x14ac:dyDescent="0.25">
      <c r="F30" s="34"/>
      <c r="G30" s="35"/>
      <c r="H30" s="35"/>
      <c r="I30" s="35"/>
      <c r="J30" s="35"/>
      <c r="K30" s="35"/>
      <c r="L30" s="35"/>
      <c r="M30" s="35"/>
      <c r="N30" s="35"/>
    </row>
    <row r="31" spans="5:14" ht="15.75" x14ac:dyDescent="0.25">
      <c r="F31" s="34"/>
      <c r="G31" s="35"/>
      <c r="H31" s="35"/>
      <c r="I31" s="35"/>
      <c r="J31" s="35"/>
      <c r="K31" s="35"/>
      <c r="L31" s="35"/>
      <c r="M31" s="35"/>
      <c r="N31" s="35"/>
    </row>
    <row r="32" spans="5:14" ht="15.75" x14ac:dyDescent="0.25">
      <c r="E32" s="2" t="s">
        <v>0</v>
      </c>
      <c r="F32" s="3"/>
      <c r="G32" s="3"/>
      <c r="H32" s="7"/>
      <c r="I32" s="3"/>
      <c r="J32" s="7"/>
      <c r="K32" s="7"/>
      <c r="L32" s="7"/>
      <c r="M32" s="7"/>
      <c r="N32" s="7"/>
    </row>
    <row r="33" spans="5:14" ht="15.75" x14ac:dyDescent="0.25">
      <c r="F33" s="36"/>
      <c r="G33" s="37"/>
      <c r="H33" s="38"/>
      <c r="I33" s="38"/>
      <c r="J33" s="39" t="s">
        <v>1</v>
      </c>
      <c r="K33" s="38"/>
      <c r="L33" s="38"/>
      <c r="M33" s="38"/>
      <c r="N33" s="38"/>
    </row>
    <row r="34" spans="5:14" ht="15.75" x14ac:dyDescent="0.25">
      <c r="E34" s="6" t="s">
        <v>39</v>
      </c>
      <c r="F34" s="3"/>
      <c r="G34" s="3"/>
      <c r="H34" s="7"/>
      <c r="I34" s="3"/>
      <c r="J34" s="7"/>
      <c r="K34" s="7"/>
      <c r="L34" s="7"/>
      <c r="M34" s="7"/>
      <c r="N34" s="7"/>
    </row>
    <row r="35" spans="5:14" ht="16.5" thickBot="1" x14ac:dyDescent="0.3">
      <c r="F35" s="36"/>
      <c r="G35" s="38"/>
      <c r="H35" s="38"/>
      <c r="I35" s="38"/>
      <c r="J35" s="38"/>
      <c r="K35" s="38"/>
      <c r="L35" s="38"/>
      <c r="M35" s="38"/>
      <c r="N35" s="38"/>
    </row>
    <row r="36" spans="5:14" ht="15.95" customHeight="1" thickTop="1" x14ac:dyDescent="0.25">
      <c r="E36" s="41" t="s">
        <v>24</v>
      </c>
      <c r="F36" s="42" t="s">
        <v>3</v>
      </c>
      <c r="G36" s="62" t="s">
        <v>4</v>
      </c>
      <c r="H36" s="62" t="s">
        <v>40</v>
      </c>
      <c r="I36" s="43" t="s">
        <v>6</v>
      </c>
      <c r="J36" s="43" t="s">
        <v>7</v>
      </c>
      <c r="K36" s="43" t="s">
        <v>8</v>
      </c>
      <c r="L36" s="43" t="s">
        <v>25</v>
      </c>
      <c r="M36" s="44" t="s">
        <v>10</v>
      </c>
      <c r="N36" s="63" t="s">
        <v>11</v>
      </c>
    </row>
    <row r="37" spans="5:14" ht="15.95" customHeight="1" x14ac:dyDescent="0.25">
      <c r="E37" s="45"/>
      <c r="F37" s="46"/>
      <c r="G37" s="47"/>
      <c r="H37" s="47"/>
      <c r="I37" s="47"/>
      <c r="J37" s="47"/>
      <c r="K37" s="47"/>
      <c r="L37" s="47"/>
      <c r="M37" s="48"/>
      <c r="N37" s="68"/>
    </row>
    <row r="38" spans="5:14" ht="15.95" customHeight="1" x14ac:dyDescent="0.25">
      <c r="E38" s="45" t="s">
        <v>26</v>
      </c>
      <c r="F38" s="49">
        <f>SUM(G38:N38)</f>
        <v>20606645</v>
      </c>
      <c r="G38" s="50">
        <v>1811339</v>
      </c>
      <c r="H38" s="50">
        <v>1460024</v>
      </c>
      <c r="I38" s="50">
        <v>8596</v>
      </c>
      <c r="J38" s="50">
        <v>6914239</v>
      </c>
      <c r="K38" s="50">
        <v>1044380</v>
      </c>
      <c r="L38" s="50">
        <v>1405719</v>
      </c>
      <c r="M38" s="51">
        <v>6154646</v>
      </c>
      <c r="N38" s="69">
        <v>1807702</v>
      </c>
    </row>
    <row r="39" spans="5:14" ht="15.95" customHeight="1" x14ac:dyDescent="0.25">
      <c r="E39" s="45" t="s">
        <v>27</v>
      </c>
      <c r="F39" s="49">
        <f>SUM(G39:N39)</f>
        <v>18189905</v>
      </c>
      <c r="G39" s="50">
        <v>1565997</v>
      </c>
      <c r="H39" s="50">
        <v>1013034</v>
      </c>
      <c r="I39" s="50">
        <v>14245</v>
      </c>
      <c r="J39" s="50">
        <v>6255037</v>
      </c>
      <c r="K39" s="50">
        <v>1031239</v>
      </c>
      <c r="L39" s="50">
        <v>1616309</v>
      </c>
      <c r="M39" s="51">
        <v>4869620</v>
      </c>
      <c r="N39" s="69">
        <v>1824424</v>
      </c>
    </row>
    <row r="40" spans="5:14" ht="15.95" customHeight="1" x14ac:dyDescent="0.25">
      <c r="E40" s="45" t="s">
        <v>28</v>
      </c>
      <c r="F40" s="49">
        <f>SUM(G40:N40)</f>
        <v>21431251</v>
      </c>
      <c r="G40" s="50">
        <v>1811692</v>
      </c>
      <c r="H40" s="50">
        <v>1333264</v>
      </c>
      <c r="I40" s="50">
        <v>13404</v>
      </c>
      <c r="J40" s="50">
        <v>6743166</v>
      </c>
      <c r="K40" s="50">
        <v>1078007</v>
      </c>
      <c r="L40" s="50">
        <v>1595019</v>
      </c>
      <c r="M40" s="51">
        <v>6161611</v>
      </c>
      <c r="N40" s="69">
        <v>2695088</v>
      </c>
    </row>
    <row r="41" spans="5:14" ht="15.95" customHeight="1" x14ac:dyDescent="0.25">
      <c r="E41" s="45"/>
      <c r="F41" s="49">
        <f t="shared" ref="F41:L41" si="1">F38+F39+F40</f>
        <v>60227801</v>
      </c>
      <c r="G41" s="50">
        <f t="shared" si="1"/>
        <v>5189028</v>
      </c>
      <c r="H41" s="50">
        <f t="shared" si="1"/>
        <v>3806322</v>
      </c>
      <c r="I41" s="50">
        <f t="shared" si="1"/>
        <v>36245</v>
      </c>
      <c r="J41" s="50">
        <f t="shared" si="1"/>
        <v>19912442</v>
      </c>
      <c r="K41" s="50">
        <f t="shared" si="1"/>
        <v>3153626</v>
      </c>
      <c r="L41" s="50">
        <f t="shared" si="1"/>
        <v>4617047</v>
      </c>
      <c r="M41" s="51">
        <f>M38+M39+M40</f>
        <v>17185877</v>
      </c>
      <c r="N41" s="69">
        <f>N38+N39+N40</f>
        <v>6327214</v>
      </c>
    </row>
    <row r="42" spans="5:14" ht="15.95" customHeight="1" x14ac:dyDescent="0.25">
      <c r="E42" s="45" t="s">
        <v>29</v>
      </c>
      <c r="F42" s="49">
        <f>SUM(G42:N42)</f>
        <v>21959473</v>
      </c>
      <c r="G42" s="50">
        <v>1866522</v>
      </c>
      <c r="H42" s="50">
        <v>1326789</v>
      </c>
      <c r="I42" s="50">
        <v>9412</v>
      </c>
      <c r="J42" s="50">
        <v>7588046</v>
      </c>
      <c r="K42" s="50">
        <v>1165651</v>
      </c>
      <c r="L42" s="50">
        <v>1673843</v>
      </c>
      <c r="M42" s="51">
        <v>5603583</v>
      </c>
      <c r="N42" s="69">
        <v>2725627</v>
      </c>
    </row>
    <row r="43" spans="5:14" ht="15.95" customHeight="1" x14ac:dyDescent="0.25">
      <c r="E43" s="45" t="s">
        <v>30</v>
      </c>
      <c r="F43" s="49">
        <f>SUM(G43:N43)</f>
        <v>21607271</v>
      </c>
      <c r="G43" s="50">
        <v>1709087</v>
      </c>
      <c r="H43" s="50">
        <v>1324777</v>
      </c>
      <c r="I43" s="50">
        <v>12175</v>
      </c>
      <c r="J43" s="50">
        <v>7941112</v>
      </c>
      <c r="K43" s="50">
        <v>1084593</v>
      </c>
      <c r="L43" s="50">
        <v>2176650</v>
      </c>
      <c r="M43" s="51">
        <v>5522796</v>
      </c>
      <c r="N43" s="69">
        <v>1836081</v>
      </c>
    </row>
    <row r="44" spans="5:14" ht="15.95" customHeight="1" x14ac:dyDescent="0.25">
      <c r="E44" s="45" t="s">
        <v>31</v>
      </c>
      <c r="F44" s="49">
        <f>SUM(G44:N44)</f>
        <v>22180667</v>
      </c>
      <c r="G44" s="50">
        <v>1901923</v>
      </c>
      <c r="H44" s="50">
        <v>1468465</v>
      </c>
      <c r="I44" s="50">
        <v>4598</v>
      </c>
      <c r="J44" s="50">
        <v>8677729</v>
      </c>
      <c r="K44" s="50">
        <v>1275073</v>
      </c>
      <c r="L44" s="50">
        <v>1597115</v>
      </c>
      <c r="M44" s="51">
        <v>6051827</v>
      </c>
      <c r="N44" s="69">
        <v>1203937</v>
      </c>
    </row>
    <row r="45" spans="5:14" ht="15.95" customHeight="1" x14ac:dyDescent="0.25">
      <c r="E45" s="45"/>
      <c r="F45" s="49">
        <f t="shared" ref="F45:L45" si="2">F42+F43+F44</f>
        <v>65747411</v>
      </c>
      <c r="G45" s="50">
        <f t="shared" si="2"/>
        <v>5477532</v>
      </c>
      <c r="H45" s="50">
        <f t="shared" si="2"/>
        <v>4120031</v>
      </c>
      <c r="I45" s="50">
        <f t="shared" si="2"/>
        <v>26185</v>
      </c>
      <c r="J45" s="50">
        <f t="shared" si="2"/>
        <v>24206887</v>
      </c>
      <c r="K45" s="50">
        <f t="shared" si="2"/>
        <v>3525317</v>
      </c>
      <c r="L45" s="50">
        <f t="shared" si="2"/>
        <v>5447608</v>
      </c>
      <c r="M45" s="51">
        <f>M42+M43+M44</f>
        <v>17178206</v>
      </c>
      <c r="N45" s="69">
        <f>N42+N43+N44</f>
        <v>5765645</v>
      </c>
    </row>
    <row r="46" spans="5:14" ht="15.95" customHeight="1" x14ac:dyDescent="0.25">
      <c r="E46" s="45" t="s">
        <v>32</v>
      </c>
      <c r="F46" s="49">
        <f>SUM(G46:N46)</f>
        <v>23424185</v>
      </c>
      <c r="G46" s="50">
        <v>1942496</v>
      </c>
      <c r="H46" s="50">
        <v>1552124</v>
      </c>
      <c r="I46" s="50">
        <v>11754</v>
      </c>
      <c r="J46" s="50">
        <v>8998492</v>
      </c>
      <c r="K46" s="50">
        <v>1518990</v>
      </c>
      <c r="L46" s="50">
        <v>1690276</v>
      </c>
      <c r="M46" s="51">
        <v>6533676</v>
      </c>
      <c r="N46" s="69">
        <v>1176377</v>
      </c>
    </row>
    <row r="47" spans="5:14" ht="15.95" customHeight="1" x14ac:dyDescent="0.25">
      <c r="E47" s="45" t="s">
        <v>41</v>
      </c>
      <c r="F47" s="49">
        <f>SUM(G47:N47)</f>
        <v>23785985</v>
      </c>
      <c r="G47" s="50">
        <v>1891036</v>
      </c>
      <c r="H47" s="50">
        <v>1613960</v>
      </c>
      <c r="I47" s="50">
        <v>6772</v>
      </c>
      <c r="J47" s="50">
        <v>8295776</v>
      </c>
      <c r="K47" s="50">
        <v>1348715</v>
      </c>
      <c r="L47" s="50">
        <v>1364211</v>
      </c>
      <c r="M47" s="51">
        <v>6683333</v>
      </c>
      <c r="N47" s="69">
        <v>2582182</v>
      </c>
    </row>
    <row r="48" spans="5:14" ht="15.95" customHeight="1" x14ac:dyDescent="0.25">
      <c r="E48" s="45" t="s">
        <v>34</v>
      </c>
      <c r="F48" s="49">
        <f>SUM(G48:N48)</f>
        <v>22259674</v>
      </c>
      <c r="G48" s="50">
        <v>1891072</v>
      </c>
      <c r="H48" s="50">
        <v>1492152</v>
      </c>
      <c r="I48" s="50">
        <v>792</v>
      </c>
      <c r="J48" s="50">
        <v>7510633</v>
      </c>
      <c r="K48" s="50">
        <v>1498674</v>
      </c>
      <c r="L48" s="50">
        <v>1548532</v>
      </c>
      <c r="M48" s="51">
        <v>7242652</v>
      </c>
      <c r="N48" s="69">
        <v>1075167</v>
      </c>
    </row>
    <row r="49" spans="5:14" ht="15.95" customHeight="1" x14ac:dyDescent="0.25">
      <c r="E49" s="45"/>
      <c r="F49" s="49">
        <f t="shared" ref="F49:N49" si="3">F46+F47+F48</f>
        <v>69469844</v>
      </c>
      <c r="G49" s="50">
        <f t="shared" si="3"/>
        <v>5724604</v>
      </c>
      <c r="H49" s="50">
        <f t="shared" si="3"/>
        <v>4658236</v>
      </c>
      <c r="I49" s="50">
        <f t="shared" si="3"/>
        <v>19318</v>
      </c>
      <c r="J49" s="50">
        <f t="shared" si="3"/>
        <v>24804901</v>
      </c>
      <c r="K49" s="50">
        <f t="shared" si="3"/>
        <v>4366379</v>
      </c>
      <c r="L49" s="50">
        <f t="shared" si="3"/>
        <v>4603019</v>
      </c>
      <c r="M49" s="51">
        <f t="shared" si="3"/>
        <v>20459661</v>
      </c>
      <c r="N49" s="69">
        <f t="shared" si="3"/>
        <v>4833726</v>
      </c>
    </row>
    <row r="50" spans="5:14" ht="15.95" customHeight="1" x14ac:dyDescent="0.25">
      <c r="E50" s="45" t="s">
        <v>35</v>
      </c>
      <c r="F50" s="49">
        <f>SUM(G50:N50)</f>
        <v>20824489</v>
      </c>
      <c r="G50" s="50">
        <v>1681457</v>
      </c>
      <c r="H50" s="50">
        <v>1381408</v>
      </c>
      <c r="I50" s="50">
        <v>11157</v>
      </c>
      <c r="J50" s="50">
        <v>7390513</v>
      </c>
      <c r="K50" s="50">
        <v>1550660</v>
      </c>
      <c r="L50" s="50">
        <v>1693236</v>
      </c>
      <c r="M50" s="51">
        <v>6381426</v>
      </c>
      <c r="N50" s="69">
        <v>734632</v>
      </c>
    </row>
    <row r="51" spans="5:14" ht="15.95" customHeight="1" x14ac:dyDescent="0.25">
      <c r="E51" s="45" t="s">
        <v>36</v>
      </c>
      <c r="F51" s="49">
        <f>SUM(G51:N51)</f>
        <v>20090574</v>
      </c>
      <c r="G51" s="50">
        <v>1623322</v>
      </c>
      <c r="H51" s="50">
        <v>1402045</v>
      </c>
      <c r="I51" s="50">
        <v>6188</v>
      </c>
      <c r="J51" s="50">
        <v>6605751</v>
      </c>
      <c r="K51" s="50">
        <v>1328311</v>
      </c>
      <c r="L51" s="50">
        <v>1094608</v>
      </c>
      <c r="M51" s="51">
        <v>6225259</v>
      </c>
      <c r="N51" s="69">
        <v>1805090</v>
      </c>
    </row>
    <row r="52" spans="5:14" ht="15.95" customHeight="1" x14ac:dyDescent="0.25">
      <c r="E52" s="45" t="s">
        <v>37</v>
      </c>
      <c r="F52" s="49">
        <f>SUM(G52:N52)</f>
        <v>20895596</v>
      </c>
      <c r="G52" s="50">
        <v>1678077</v>
      </c>
      <c r="H52" s="50">
        <v>1602892</v>
      </c>
      <c r="I52" s="50">
        <v>12226</v>
      </c>
      <c r="J52" s="50">
        <v>6624970</v>
      </c>
      <c r="K52" s="50">
        <v>1307173</v>
      </c>
      <c r="L52" s="50">
        <v>1516101</v>
      </c>
      <c r="M52" s="51">
        <v>6347289</v>
      </c>
      <c r="N52" s="69">
        <v>1806868</v>
      </c>
    </row>
    <row r="53" spans="5:14" ht="15.95" customHeight="1" x14ac:dyDescent="0.25">
      <c r="E53" s="45"/>
      <c r="F53" s="49">
        <f t="shared" ref="F53:N53" si="4">F50+F51+F52</f>
        <v>61810659</v>
      </c>
      <c r="G53" s="50">
        <f t="shared" si="4"/>
        <v>4982856</v>
      </c>
      <c r="H53" s="50">
        <f t="shared" si="4"/>
        <v>4386345</v>
      </c>
      <c r="I53" s="50">
        <f t="shared" si="4"/>
        <v>29571</v>
      </c>
      <c r="J53" s="50">
        <f t="shared" si="4"/>
        <v>20621234</v>
      </c>
      <c r="K53" s="50">
        <f t="shared" si="4"/>
        <v>4186144</v>
      </c>
      <c r="L53" s="50">
        <f t="shared" si="4"/>
        <v>4303945</v>
      </c>
      <c r="M53" s="51">
        <f t="shared" si="4"/>
        <v>18953974</v>
      </c>
      <c r="N53" s="69">
        <f t="shared" si="4"/>
        <v>4346590</v>
      </c>
    </row>
    <row r="54" spans="5:14" ht="15.95" customHeight="1" x14ac:dyDescent="0.25">
      <c r="E54" s="70" t="s">
        <v>38</v>
      </c>
      <c r="F54" s="49">
        <f t="shared" ref="F54:N54" si="5">F38+F39+F40+F42+F43+F44+F46+F47+F48+F50+F51+F52</f>
        <v>257255715</v>
      </c>
      <c r="G54" s="50">
        <f t="shared" si="5"/>
        <v>21374020</v>
      </c>
      <c r="H54" s="50">
        <f t="shared" si="5"/>
        <v>16970934</v>
      </c>
      <c r="I54" s="50">
        <f t="shared" si="5"/>
        <v>111319</v>
      </c>
      <c r="J54" s="50">
        <f t="shared" si="5"/>
        <v>89545464</v>
      </c>
      <c r="K54" s="50">
        <f t="shared" si="5"/>
        <v>15231466</v>
      </c>
      <c r="L54" s="50">
        <f t="shared" si="5"/>
        <v>18971619</v>
      </c>
      <c r="M54" s="51">
        <f t="shared" si="5"/>
        <v>73777718</v>
      </c>
      <c r="N54" s="69">
        <f t="shared" si="5"/>
        <v>21273175</v>
      </c>
    </row>
    <row r="55" spans="5:14" ht="15.95" customHeight="1" thickBot="1" x14ac:dyDescent="0.3">
      <c r="E55" s="58"/>
      <c r="F55" s="26"/>
      <c r="G55" s="27"/>
      <c r="H55" s="27"/>
      <c r="I55" s="27"/>
      <c r="J55" s="27"/>
      <c r="K55" s="27"/>
      <c r="L55" s="27"/>
      <c r="M55" s="28"/>
      <c r="N55" s="67"/>
    </row>
    <row r="56" spans="5:14" ht="16.5" thickTop="1" x14ac:dyDescent="0.25">
      <c r="F56" s="59"/>
      <c r="G56" s="60"/>
      <c r="H56" s="60"/>
      <c r="I56" s="60"/>
      <c r="J56" s="60"/>
      <c r="K56" s="60"/>
      <c r="L56" s="60"/>
      <c r="M56" s="60"/>
      <c r="N56" s="60"/>
    </row>
    <row r="57" spans="5:14" ht="15.75" x14ac:dyDescent="0.25">
      <c r="E57" s="33" t="s">
        <v>23</v>
      </c>
      <c r="F57" s="59"/>
      <c r="G57" s="60"/>
      <c r="H57" s="60"/>
      <c r="I57" s="60"/>
      <c r="J57" s="60"/>
      <c r="K57" s="60"/>
      <c r="L57" s="60"/>
      <c r="M57" s="60"/>
      <c r="N57" s="60"/>
    </row>
    <row r="58" spans="5:14" ht="15.75" x14ac:dyDescent="0.25">
      <c r="E58" s="61"/>
      <c r="F58" s="59"/>
      <c r="G58" s="60"/>
      <c r="H58" s="60"/>
      <c r="I58" s="60"/>
      <c r="J58" s="60"/>
      <c r="K58" s="60"/>
      <c r="L58" s="60"/>
      <c r="M58" s="60"/>
      <c r="N58" s="60"/>
    </row>
    <row r="59" spans="5:14" ht="15.75" x14ac:dyDescent="0.25">
      <c r="F59" s="59"/>
      <c r="G59" s="60"/>
      <c r="H59" s="60"/>
      <c r="I59" s="60"/>
      <c r="J59" s="60"/>
      <c r="K59" s="60"/>
      <c r="L59" s="60"/>
      <c r="M59" s="60"/>
      <c r="N59" s="60"/>
    </row>
    <row r="60" spans="5:14" ht="15.75" x14ac:dyDescent="0.25">
      <c r="F60" s="59"/>
      <c r="G60" s="60"/>
      <c r="H60" s="60"/>
      <c r="I60" s="60"/>
      <c r="J60" s="60"/>
      <c r="K60" s="60"/>
      <c r="L60" s="60"/>
      <c r="M60" s="60"/>
      <c r="N60" s="60"/>
    </row>
    <row r="61" spans="5:14" ht="15.75" x14ac:dyDescent="0.25">
      <c r="F61" s="59"/>
      <c r="G61" s="60"/>
      <c r="H61" s="60"/>
      <c r="I61" s="60"/>
      <c r="J61" s="60"/>
      <c r="K61" s="60"/>
      <c r="L61" s="60"/>
      <c r="M61" s="60"/>
      <c r="N61" s="60"/>
    </row>
    <row r="62" spans="5:14" ht="15.75" x14ac:dyDescent="0.25">
      <c r="F62" s="59"/>
      <c r="G62" s="60"/>
      <c r="H62" s="60"/>
      <c r="I62" s="60"/>
      <c r="J62" s="60"/>
      <c r="K62" s="60"/>
      <c r="L62" s="60"/>
      <c r="M62" s="60"/>
      <c r="N62" s="60"/>
    </row>
    <row r="63" spans="5:14" ht="15.75" x14ac:dyDescent="0.25">
      <c r="F63" s="59"/>
      <c r="G63" s="60"/>
      <c r="H63" s="60"/>
      <c r="I63" s="60"/>
      <c r="J63" s="60"/>
      <c r="K63" s="60"/>
      <c r="L63" s="60"/>
      <c r="M63" s="60"/>
      <c r="N63" s="60"/>
    </row>
    <row r="64" spans="5:14" ht="15.75" x14ac:dyDescent="0.25">
      <c r="F64" s="59"/>
      <c r="G64" s="60"/>
      <c r="H64" s="60"/>
      <c r="I64" s="60"/>
      <c r="J64" s="60"/>
      <c r="K64" s="60"/>
      <c r="L64" s="60"/>
      <c r="M64" s="60"/>
      <c r="N64" s="60"/>
    </row>
    <row r="65" spans="6:14" ht="15.75" x14ac:dyDescent="0.25">
      <c r="F65" s="59"/>
      <c r="G65" s="60"/>
      <c r="H65" s="60"/>
      <c r="I65" s="60"/>
      <c r="J65" s="60"/>
      <c r="K65" s="60"/>
      <c r="L65" s="60"/>
      <c r="M65" s="60"/>
      <c r="N65" s="60"/>
    </row>
    <row r="66" spans="6:14" ht="15.75" x14ac:dyDescent="0.25">
      <c r="F66" s="59"/>
      <c r="G66" s="60"/>
      <c r="H66" s="60"/>
      <c r="I66" s="60"/>
      <c r="J66" s="60"/>
      <c r="K66" s="60"/>
      <c r="L66" s="60"/>
      <c r="M66" s="60"/>
      <c r="N66" s="60"/>
    </row>
    <row r="67" spans="6:14" ht="15.75" x14ac:dyDescent="0.25">
      <c r="F67" s="59"/>
      <c r="G67" s="60"/>
      <c r="H67" s="60"/>
      <c r="I67" s="60"/>
      <c r="J67" s="60"/>
      <c r="K67" s="60"/>
      <c r="L67" s="60"/>
      <c r="M67" s="60"/>
      <c r="N67" s="60"/>
    </row>
    <row r="68" spans="6:14" ht="15.75" x14ac:dyDescent="0.25">
      <c r="F68" s="59"/>
      <c r="G68" s="60"/>
      <c r="H68" s="60"/>
      <c r="I68" s="60"/>
      <c r="J68" s="60"/>
      <c r="K68" s="60"/>
      <c r="L68" s="60"/>
      <c r="M68" s="60"/>
      <c r="N68" s="60"/>
    </row>
    <row r="69" spans="6:14" ht="15.75" x14ac:dyDescent="0.25">
      <c r="F69" s="59"/>
      <c r="G69" s="60"/>
      <c r="H69" s="60"/>
      <c r="I69" s="60"/>
      <c r="J69" s="60"/>
      <c r="K69" s="60"/>
      <c r="L69" s="60"/>
      <c r="M69" s="60"/>
      <c r="N69" s="60"/>
    </row>
    <row r="70" spans="6:14" ht="15.75" x14ac:dyDescent="0.25">
      <c r="F70" s="59"/>
      <c r="G70" s="60"/>
      <c r="H70" s="60"/>
      <c r="I70" s="60"/>
      <c r="J70" s="60"/>
      <c r="K70" s="60"/>
      <c r="L70" s="60"/>
      <c r="M70" s="60"/>
      <c r="N70" s="60"/>
    </row>
    <row r="71" spans="6:14" ht="15.75" x14ac:dyDescent="0.25">
      <c r="F71" s="59"/>
      <c r="G71" s="60"/>
      <c r="H71" s="60"/>
      <c r="I71" s="60"/>
      <c r="J71" s="60"/>
      <c r="K71" s="60"/>
      <c r="L71" s="60"/>
      <c r="M71" s="60"/>
      <c r="N71" s="60"/>
    </row>
    <row r="72" spans="6:14" ht="15.75" x14ac:dyDescent="0.25">
      <c r="F72" s="59"/>
      <c r="G72" s="60"/>
      <c r="H72" s="60"/>
      <c r="I72" s="60"/>
      <c r="J72" s="60"/>
      <c r="K72" s="60"/>
      <c r="L72" s="60"/>
      <c r="M72" s="60"/>
      <c r="N72" s="60"/>
    </row>
    <row r="73" spans="6:14" ht="15.75" x14ac:dyDescent="0.25">
      <c r="F73" s="59"/>
      <c r="G73" s="60"/>
      <c r="H73" s="60"/>
      <c r="I73" s="60"/>
      <c r="J73" s="60"/>
      <c r="K73" s="60"/>
      <c r="L73" s="60"/>
      <c r="M73" s="60"/>
      <c r="N73" s="60"/>
    </row>
    <row r="74" spans="6:14" ht="15.75" x14ac:dyDescent="0.25">
      <c r="F74" s="59"/>
      <c r="G74" s="60"/>
      <c r="H74" s="60"/>
      <c r="I74" s="60"/>
      <c r="J74" s="60"/>
      <c r="K74" s="60"/>
      <c r="L74" s="60"/>
      <c r="M74" s="60"/>
      <c r="N74" s="60"/>
    </row>
    <row r="75" spans="6:14" ht="15.75" x14ac:dyDescent="0.25">
      <c r="F75" s="59"/>
      <c r="G75" s="60"/>
      <c r="H75" s="60"/>
      <c r="I75" s="60"/>
      <c r="J75" s="60"/>
      <c r="K75" s="60"/>
      <c r="L75" s="60"/>
      <c r="M75" s="60"/>
      <c r="N75" s="60"/>
    </row>
    <row r="76" spans="6:14" ht="15.75" x14ac:dyDescent="0.25">
      <c r="F76" s="59"/>
      <c r="G76" s="60"/>
      <c r="H76" s="60"/>
      <c r="I76" s="60"/>
      <c r="J76" s="60"/>
      <c r="K76" s="60"/>
      <c r="L76" s="60"/>
      <c r="M76" s="60"/>
      <c r="N76" s="60"/>
    </row>
    <row r="77" spans="6:14" ht="15.75" x14ac:dyDescent="0.25">
      <c r="F77" s="59"/>
      <c r="G77" s="60"/>
      <c r="H77" s="60"/>
      <c r="I77" s="60"/>
      <c r="J77" s="60"/>
      <c r="K77" s="60"/>
      <c r="L77" s="60"/>
      <c r="M77" s="60"/>
      <c r="N77" s="60"/>
    </row>
    <row r="78" spans="6:14" ht="15.75" x14ac:dyDescent="0.25">
      <c r="F78" s="59"/>
      <c r="G78" s="60"/>
      <c r="H78" s="60"/>
      <c r="I78" s="60"/>
      <c r="J78" s="60"/>
      <c r="K78" s="60"/>
      <c r="L78" s="60"/>
      <c r="M78" s="60"/>
      <c r="N78" s="60"/>
    </row>
    <row r="79" spans="6:14" ht="15.75" x14ac:dyDescent="0.25">
      <c r="F79" s="59"/>
      <c r="G79" s="60"/>
      <c r="H79" s="60"/>
      <c r="I79" s="60"/>
      <c r="J79" s="60"/>
      <c r="K79" s="60"/>
      <c r="L79" s="60"/>
      <c r="M79" s="60"/>
      <c r="N79" s="60"/>
    </row>
    <row r="80" spans="6:14" ht="15.75" x14ac:dyDescent="0.25">
      <c r="F80" s="59"/>
      <c r="G80" s="60"/>
      <c r="H80" s="60"/>
      <c r="I80" s="60"/>
      <c r="J80" s="60"/>
      <c r="K80" s="60"/>
      <c r="L80" s="60"/>
      <c r="M80" s="60"/>
      <c r="N80" s="60"/>
    </row>
    <row r="81" spans="6:14" ht="15.75" x14ac:dyDescent="0.25">
      <c r="F81" s="59"/>
      <c r="G81" s="60"/>
      <c r="H81" s="60"/>
      <c r="I81" s="60"/>
      <c r="J81" s="60"/>
      <c r="K81" s="60"/>
      <c r="L81" s="60"/>
      <c r="M81" s="60"/>
      <c r="N81" s="60"/>
    </row>
    <row r="82" spans="6:14" ht="15.75" x14ac:dyDescent="0.25">
      <c r="F82" s="59"/>
      <c r="G82" s="60"/>
      <c r="H82" s="60"/>
      <c r="I82" s="60"/>
      <c r="J82" s="60"/>
      <c r="K82" s="60"/>
      <c r="L82" s="60"/>
      <c r="M82" s="60"/>
      <c r="N82" s="60"/>
    </row>
    <row r="83" spans="6:14" ht="15.75" x14ac:dyDescent="0.25">
      <c r="F83" s="59"/>
      <c r="G83" s="60"/>
      <c r="H83" s="60"/>
      <c r="I83" s="60"/>
      <c r="J83" s="60"/>
      <c r="K83" s="60"/>
      <c r="L83" s="60"/>
      <c r="M83" s="60"/>
      <c r="N83" s="60"/>
    </row>
    <row r="84" spans="6:14" ht="15.75" x14ac:dyDescent="0.25">
      <c r="F84" s="59"/>
      <c r="G84" s="60"/>
      <c r="H84" s="60"/>
      <c r="I84" s="60"/>
      <c r="J84" s="60"/>
      <c r="K84" s="60"/>
      <c r="L84" s="60"/>
      <c r="M84" s="60"/>
      <c r="N84" s="60"/>
    </row>
    <row r="85" spans="6:14" ht="15.75" x14ac:dyDescent="0.25">
      <c r="F85" s="59"/>
      <c r="G85" s="60"/>
      <c r="H85" s="60"/>
      <c r="I85" s="60"/>
      <c r="J85" s="60"/>
      <c r="K85" s="60"/>
      <c r="L85" s="60"/>
      <c r="M85" s="60"/>
      <c r="N85" s="60"/>
    </row>
    <row r="86" spans="6:14" ht="15.75" x14ac:dyDescent="0.25">
      <c r="F86" s="59"/>
      <c r="G86" s="60"/>
      <c r="H86" s="60"/>
      <c r="I86" s="60"/>
      <c r="J86" s="60"/>
      <c r="K86" s="60"/>
      <c r="L86" s="60"/>
      <c r="M86" s="60"/>
      <c r="N86" s="60"/>
    </row>
    <row r="87" spans="6:14" ht="15.75" x14ac:dyDescent="0.25">
      <c r="F87" s="59"/>
      <c r="G87" s="60"/>
      <c r="H87" s="60"/>
      <c r="I87" s="60"/>
      <c r="J87" s="60"/>
      <c r="K87" s="60"/>
      <c r="L87" s="60"/>
      <c r="M87" s="60"/>
      <c r="N87" s="60"/>
    </row>
    <row r="88" spans="6:14" ht="15.75" x14ac:dyDescent="0.25">
      <c r="F88" s="59"/>
      <c r="G88" s="60"/>
      <c r="H88" s="60"/>
      <c r="I88" s="60"/>
      <c r="J88" s="60"/>
      <c r="K88" s="60"/>
      <c r="L88" s="60"/>
      <c r="M88" s="60"/>
      <c r="N88" s="60"/>
    </row>
    <row r="89" spans="6:14" ht="15.75" x14ac:dyDescent="0.25">
      <c r="F89" s="59"/>
      <c r="G89" s="60"/>
      <c r="H89" s="60"/>
      <c r="I89" s="60"/>
      <c r="J89" s="60"/>
      <c r="K89" s="60"/>
      <c r="L89" s="60"/>
      <c r="M89" s="60"/>
      <c r="N89" s="60"/>
    </row>
    <row r="90" spans="6:14" ht="15.75" x14ac:dyDescent="0.25">
      <c r="F90" s="59"/>
      <c r="G90" s="60"/>
      <c r="H90" s="60"/>
      <c r="I90" s="60"/>
      <c r="J90" s="60"/>
      <c r="K90" s="60"/>
      <c r="L90" s="60"/>
      <c r="M90" s="60"/>
      <c r="N90" s="60"/>
    </row>
    <row r="91" spans="6:14" ht="15.75" x14ac:dyDescent="0.25">
      <c r="F91" s="59"/>
      <c r="G91" s="60"/>
      <c r="H91" s="60"/>
      <c r="I91" s="60"/>
      <c r="J91" s="60"/>
      <c r="K91" s="60"/>
      <c r="L91" s="60"/>
      <c r="M91" s="60"/>
      <c r="N91" s="60"/>
    </row>
    <row r="92" spans="6:14" ht="15.75" x14ac:dyDescent="0.25">
      <c r="F92" s="59"/>
      <c r="G92" s="60"/>
      <c r="H92" s="60"/>
      <c r="I92" s="60"/>
      <c r="J92" s="60"/>
      <c r="K92" s="60"/>
      <c r="L92" s="60"/>
      <c r="M92" s="60"/>
      <c r="N92" s="60"/>
    </row>
    <row r="93" spans="6:14" ht="15.75" x14ac:dyDescent="0.25">
      <c r="F93" s="59"/>
      <c r="G93" s="60"/>
      <c r="H93" s="60"/>
      <c r="I93" s="60"/>
      <c r="J93" s="60"/>
      <c r="K93" s="60"/>
      <c r="L93" s="60"/>
      <c r="M93" s="60"/>
      <c r="N93" s="60"/>
    </row>
    <row r="94" spans="6:14" ht="15.75" x14ac:dyDescent="0.25">
      <c r="F94" s="59"/>
      <c r="G94" s="60"/>
      <c r="H94" s="60"/>
      <c r="I94" s="60"/>
      <c r="J94" s="60"/>
      <c r="K94" s="60"/>
      <c r="L94" s="60"/>
      <c r="M94" s="60"/>
      <c r="N94" s="60"/>
    </row>
    <row r="95" spans="6:14" ht="15.75" x14ac:dyDescent="0.25">
      <c r="F95" s="59"/>
      <c r="G95" s="60"/>
      <c r="H95" s="60"/>
      <c r="I95" s="60"/>
      <c r="J95" s="60"/>
      <c r="K95" s="60"/>
      <c r="L95" s="60"/>
      <c r="M95" s="60"/>
      <c r="N95" s="60"/>
    </row>
    <row r="96" spans="6:14" ht="15.75" x14ac:dyDescent="0.25">
      <c r="F96" s="59"/>
      <c r="G96" s="60"/>
      <c r="H96" s="60"/>
      <c r="I96" s="60"/>
      <c r="J96" s="60"/>
      <c r="K96" s="60"/>
      <c r="L96" s="60"/>
      <c r="M96" s="60"/>
      <c r="N96" s="60"/>
    </row>
    <row r="97" spans="6:14" ht="15.75" x14ac:dyDescent="0.25">
      <c r="F97" s="59"/>
      <c r="G97" s="60"/>
      <c r="H97" s="60"/>
      <c r="I97" s="60"/>
      <c r="J97" s="60"/>
      <c r="K97" s="60"/>
      <c r="L97" s="60"/>
      <c r="M97" s="60"/>
      <c r="N97" s="60"/>
    </row>
    <row r="98" spans="6:14" ht="15.75" x14ac:dyDescent="0.25">
      <c r="F98" s="59"/>
      <c r="G98" s="60"/>
      <c r="H98" s="60"/>
      <c r="I98" s="60"/>
      <c r="J98" s="60"/>
      <c r="K98" s="60"/>
      <c r="L98" s="60"/>
      <c r="M98" s="60"/>
      <c r="N98" s="60"/>
    </row>
    <row r="99" spans="6:14" ht="15.75" x14ac:dyDescent="0.25">
      <c r="F99" s="59"/>
      <c r="G99" s="60"/>
      <c r="H99" s="60"/>
      <c r="I99" s="60"/>
      <c r="J99" s="60"/>
      <c r="K99" s="60"/>
      <c r="L99" s="60"/>
      <c r="M99" s="60"/>
      <c r="N99" s="60"/>
    </row>
    <row r="100" spans="6:14" ht="15.75" x14ac:dyDescent="0.25">
      <c r="F100" s="59"/>
      <c r="G100" s="60"/>
      <c r="H100" s="60"/>
      <c r="I100" s="60"/>
      <c r="J100" s="60"/>
      <c r="K100" s="60"/>
      <c r="L100" s="60"/>
      <c r="M100" s="60"/>
      <c r="N100" s="60"/>
    </row>
    <row r="101" spans="6:14" ht="15.75" x14ac:dyDescent="0.25">
      <c r="F101" s="59"/>
      <c r="G101" s="60"/>
      <c r="H101" s="60"/>
      <c r="I101" s="60"/>
      <c r="J101" s="60"/>
      <c r="K101" s="60"/>
      <c r="L101" s="60"/>
      <c r="M101" s="60"/>
      <c r="N101" s="60"/>
    </row>
    <row r="102" spans="6:14" ht="15.75" x14ac:dyDescent="0.25">
      <c r="F102" s="59"/>
      <c r="G102" s="60"/>
      <c r="H102" s="60"/>
      <c r="I102" s="60"/>
      <c r="J102" s="60"/>
      <c r="K102" s="60"/>
      <c r="L102" s="60"/>
      <c r="M102" s="60"/>
      <c r="N102" s="60"/>
    </row>
    <row r="103" spans="6:14" ht="15.75" x14ac:dyDescent="0.25">
      <c r="F103" s="59"/>
      <c r="G103" s="60"/>
      <c r="H103" s="60"/>
      <c r="I103" s="60"/>
      <c r="J103" s="60"/>
      <c r="K103" s="60"/>
      <c r="L103" s="60"/>
      <c r="M103" s="60"/>
      <c r="N103" s="60"/>
    </row>
    <row r="104" spans="6:14" ht="15.75" x14ac:dyDescent="0.25">
      <c r="F104" s="59"/>
      <c r="G104" s="60"/>
      <c r="H104" s="60"/>
      <c r="I104" s="60"/>
      <c r="J104" s="60"/>
      <c r="K104" s="60"/>
      <c r="L104" s="60"/>
      <c r="M104" s="60"/>
      <c r="N104" s="60"/>
    </row>
    <row r="105" spans="6:14" ht="15.75" x14ac:dyDescent="0.25">
      <c r="F105" s="59"/>
      <c r="G105" s="60"/>
      <c r="H105" s="60"/>
      <c r="I105" s="60"/>
      <c r="J105" s="60"/>
      <c r="K105" s="60"/>
      <c r="L105" s="60"/>
      <c r="M105" s="60"/>
      <c r="N105" s="60"/>
    </row>
    <row r="106" spans="6:14" ht="15.75" x14ac:dyDescent="0.25">
      <c r="F106" s="59"/>
      <c r="G106" s="60"/>
      <c r="H106" s="60"/>
      <c r="I106" s="60"/>
      <c r="J106" s="60"/>
      <c r="K106" s="60"/>
      <c r="L106" s="60"/>
      <c r="M106" s="60"/>
      <c r="N106" s="60"/>
    </row>
    <row r="107" spans="6:14" ht="15.75" x14ac:dyDescent="0.25">
      <c r="F107" s="59"/>
      <c r="G107" s="60"/>
      <c r="H107" s="60"/>
      <c r="I107" s="60"/>
      <c r="J107" s="60"/>
      <c r="K107" s="60"/>
      <c r="L107" s="60"/>
      <c r="M107" s="60"/>
      <c r="N107" s="60"/>
    </row>
    <row r="108" spans="6:14" ht="15.75" x14ac:dyDescent="0.25">
      <c r="F108" s="59"/>
      <c r="G108" s="60"/>
      <c r="H108" s="60"/>
      <c r="I108" s="60"/>
      <c r="J108" s="60"/>
      <c r="K108" s="60"/>
      <c r="L108" s="60"/>
      <c r="M108" s="60"/>
      <c r="N108" s="60"/>
    </row>
    <row r="109" spans="6:14" ht="15.75" x14ac:dyDescent="0.25">
      <c r="F109" s="59"/>
      <c r="G109" s="60"/>
      <c r="H109" s="60"/>
      <c r="I109" s="60"/>
      <c r="J109" s="60"/>
      <c r="K109" s="60"/>
      <c r="L109" s="60"/>
      <c r="M109" s="60"/>
      <c r="N109" s="60"/>
    </row>
    <row r="110" spans="6:14" ht="15.75" x14ac:dyDescent="0.25">
      <c r="F110" s="59"/>
      <c r="G110" s="60"/>
      <c r="H110" s="60"/>
      <c r="I110" s="60"/>
      <c r="J110" s="60"/>
      <c r="K110" s="60"/>
      <c r="L110" s="60"/>
      <c r="M110" s="60"/>
      <c r="N110" s="60"/>
    </row>
    <row r="111" spans="6:14" ht="15.75" x14ac:dyDescent="0.25">
      <c r="F111" s="59"/>
      <c r="G111" s="60"/>
      <c r="H111" s="60"/>
      <c r="I111" s="60"/>
      <c r="J111" s="60"/>
      <c r="K111" s="60"/>
      <c r="L111" s="60"/>
      <c r="M111" s="60"/>
      <c r="N111" s="60"/>
    </row>
    <row r="112" spans="6:14" ht="15.75" x14ac:dyDescent="0.25">
      <c r="F112" s="59"/>
      <c r="G112" s="60"/>
      <c r="H112" s="60"/>
      <c r="I112" s="60"/>
      <c r="J112" s="60"/>
      <c r="K112" s="60"/>
      <c r="L112" s="60"/>
      <c r="M112" s="60"/>
      <c r="N112" s="60"/>
    </row>
    <row r="113" spans="6:14" ht="15.75" x14ac:dyDescent="0.25">
      <c r="F113" s="59"/>
      <c r="G113" s="60"/>
      <c r="H113" s="60"/>
      <c r="I113" s="60"/>
      <c r="J113" s="60"/>
      <c r="K113" s="60"/>
      <c r="L113" s="60"/>
      <c r="M113" s="60"/>
      <c r="N113" s="60"/>
    </row>
    <row r="114" spans="6:14" ht="15.75" x14ac:dyDescent="0.25">
      <c r="F114" s="59"/>
      <c r="G114" s="60"/>
      <c r="H114" s="60"/>
      <c r="I114" s="60"/>
      <c r="J114" s="60"/>
      <c r="K114" s="60"/>
      <c r="L114" s="60"/>
      <c r="M114" s="60"/>
      <c r="N114" s="60"/>
    </row>
    <row r="115" spans="6:14" ht="15.75" x14ac:dyDescent="0.25">
      <c r="F115" s="59"/>
      <c r="G115" s="60"/>
      <c r="H115" s="60"/>
      <c r="I115" s="60"/>
      <c r="J115" s="60"/>
      <c r="K115" s="60"/>
      <c r="L115" s="60"/>
      <c r="M115" s="60"/>
      <c r="N115" s="60"/>
    </row>
    <row r="116" spans="6:14" ht="15.75" x14ac:dyDescent="0.25">
      <c r="F116" s="59"/>
      <c r="G116" s="60"/>
      <c r="H116" s="60"/>
      <c r="I116" s="60"/>
      <c r="J116" s="60"/>
      <c r="K116" s="60"/>
      <c r="L116" s="60"/>
      <c r="M116" s="60"/>
      <c r="N116" s="60"/>
    </row>
    <row r="117" spans="6:14" ht="15.75" x14ac:dyDescent="0.25">
      <c r="F117" s="59"/>
      <c r="G117" s="60"/>
      <c r="H117" s="60"/>
      <c r="I117" s="60"/>
      <c r="J117" s="60"/>
      <c r="K117" s="60"/>
      <c r="L117" s="60"/>
      <c r="M117" s="60"/>
      <c r="N117" s="60"/>
    </row>
    <row r="118" spans="6:14" ht="15.75" x14ac:dyDescent="0.25">
      <c r="F118" s="59"/>
      <c r="G118" s="60"/>
      <c r="H118" s="60"/>
      <c r="I118" s="60"/>
      <c r="J118" s="60"/>
      <c r="K118" s="60"/>
      <c r="L118" s="60"/>
      <c r="M118" s="60"/>
      <c r="N118" s="60"/>
    </row>
    <row r="119" spans="6:14" ht="15.75" x14ac:dyDescent="0.25">
      <c r="F119" s="59"/>
      <c r="G119" s="60"/>
      <c r="H119" s="60"/>
      <c r="I119" s="60"/>
      <c r="J119" s="60"/>
      <c r="K119" s="60"/>
      <c r="L119" s="60"/>
      <c r="M119" s="60"/>
      <c r="N119" s="60"/>
    </row>
    <row r="120" spans="6:14" ht="15.75" x14ac:dyDescent="0.25">
      <c r="F120" s="59"/>
      <c r="G120" s="60"/>
      <c r="H120" s="60"/>
      <c r="I120" s="60"/>
      <c r="J120" s="60"/>
      <c r="K120" s="60"/>
      <c r="L120" s="60"/>
      <c r="M120" s="60"/>
      <c r="N120" s="60"/>
    </row>
    <row r="121" spans="6:14" ht="15.75" x14ac:dyDescent="0.25">
      <c r="F121" s="59"/>
      <c r="G121" s="60"/>
      <c r="H121" s="60"/>
      <c r="I121" s="60"/>
      <c r="J121" s="60"/>
      <c r="K121" s="60"/>
      <c r="L121" s="60"/>
      <c r="M121" s="60"/>
      <c r="N121" s="60"/>
    </row>
    <row r="122" spans="6:14" ht="15.75" x14ac:dyDescent="0.25">
      <c r="F122" s="59"/>
      <c r="G122" s="60"/>
      <c r="H122" s="60"/>
      <c r="I122" s="60"/>
      <c r="J122" s="60"/>
      <c r="K122" s="60"/>
      <c r="L122" s="60"/>
      <c r="M122" s="60"/>
      <c r="N122" s="60"/>
    </row>
    <row r="123" spans="6:14" ht="15.75" x14ac:dyDescent="0.25">
      <c r="F123" s="59"/>
      <c r="G123" s="60"/>
      <c r="H123" s="60"/>
      <c r="I123" s="60"/>
      <c r="J123" s="60"/>
      <c r="K123" s="60"/>
      <c r="L123" s="60"/>
      <c r="M123" s="60"/>
      <c r="N123" s="60"/>
    </row>
    <row r="124" spans="6:14" ht="15.75" x14ac:dyDescent="0.25">
      <c r="F124" s="59"/>
      <c r="G124" s="60"/>
      <c r="H124" s="60"/>
      <c r="I124" s="60"/>
      <c r="J124" s="60"/>
      <c r="K124" s="60"/>
      <c r="L124" s="60"/>
      <c r="M124" s="60"/>
      <c r="N124" s="60"/>
    </row>
    <row r="125" spans="6:14" ht="15.75" x14ac:dyDescent="0.25">
      <c r="F125" s="59"/>
      <c r="G125" s="60"/>
      <c r="H125" s="60"/>
      <c r="I125" s="60"/>
      <c r="J125" s="60"/>
      <c r="K125" s="60"/>
      <c r="L125" s="60"/>
      <c r="M125" s="60"/>
      <c r="N125" s="60"/>
    </row>
    <row r="126" spans="6:14" ht="15.75" x14ac:dyDescent="0.25">
      <c r="F126" s="59"/>
      <c r="G126" s="60"/>
      <c r="H126" s="60"/>
      <c r="I126" s="60"/>
      <c r="J126" s="60"/>
      <c r="K126" s="60"/>
      <c r="L126" s="60"/>
      <c r="M126" s="60"/>
      <c r="N126" s="60"/>
    </row>
    <row r="127" spans="6:14" ht="15.75" x14ac:dyDescent="0.25">
      <c r="F127" s="59"/>
      <c r="G127" s="60"/>
      <c r="H127" s="60"/>
      <c r="I127" s="60"/>
      <c r="J127" s="60"/>
      <c r="K127" s="60"/>
      <c r="L127" s="60"/>
      <c r="M127" s="60"/>
      <c r="N127" s="60"/>
    </row>
    <row r="128" spans="6:14" ht="15.75" x14ac:dyDescent="0.25">
      <c r="F128" s="59"/>
      <c r="G128" s="60"/>
      <c r="H128" s="60"/>
      <c r="I128" s="60"/>
      <c r="J128" s="60"/>
      <c r="K128" s="60"/>
      <c r="L128" s="60"/>
      <c r="M128" s="60"/>
      <c r="N128" s="60"/>
    </row>
    <row r="129" spans="6:14" ht="15.75" x14ac:dyDescent="0.25">
      <c r="F129" s="59"/>
      <c r="G129" s="60"/>
      <c r="H129" s="60"/>
      <c r="I129" s="60"/>
      <c r="J129" s="60"/>
      <c r="K129" s="60"/>
      <c r="L129" s="60"/>
      <c r="M129" s="60"/>
      <c r="N129" s="60"/>
    </row>
    <row r="130" spans="6:14" ht="15.75" x14ac:dyDescent="0.25">
      <c r="F130" s="59"/>
      <c r="G130" s="60"/>
      <c r="H130" s="60"/>
      <c r="I130" s="60"/>
      <c r="J130" s="60"/>
      <c r="K130" s="60"/>
      <c r="L130" s="60"/>
      <c r="M130" s="60"/>
      <c r="N130" s="60"/>
    </row>
    <row r="131" spans="6:14" ht="15.75" x14ac:dyDescent="0.25">
      <c r="F131" s="59"/>
      <c r="G131" s="60"/>
      <c r="H131" s="60"/>
      <c r="I131" s="60"/>
      <c r="J131" s="60"/>
      <c r="K131" s="60"/>
      <c r="L131" s="60"/>
      <c r="M131" s="60"/>
      <c r="N131" s="60"/>
    </row>
    <row r="132" spans="6:14" ht="15.75" x14ac:dyDescent="0.25">
      <c r="F132" s="59"/>
      <c r="G132" s="60"/>
      <c r="H132" s="60"/>
      <c r="I132" s="60"/>
      <c r="J132" s="60"/>
      <c r="K132" s="60"/>
      <c r="L132" s="60"/>
      <c r="M132" s="60"/>
      <c r="N132" s="60"/>
    </row>
    <row r="133" spans="6:14" ht="15.75" x14ac:dyDescent="0.25">
      <c r="F133" s="59"/>
      <c r="G133" s="60"/>
      <c r="H133" s="60"/>
      <c r="I133" s="60"/>
      <c r="J133" s="60"/>
      <c r="K133" s="60"/>
      <c r="L133" s="60"/>
      <c r="M133" s="60"/>
      <c r="N133" s="60"/>
    </row>
    <row r="134" spans="6:14" ht="15.75" x14ac:dyDescent="0.25">
      <c r="F134" s="59"/>
      <c r="G134" s="60"/>
      <c r="H134" s="60"/>
      <c r="I134" s="60"/>
      <c r="J134" s="60"/>
      <c r="K134" s="60"/>
      <c r="L134" s="60"/>
      <c r="M134" s="60"/>
      <c r="N134" s="60"/>
    </row>
    <row r="135" spans="6:14" ht="15.75" x14ac:dyDescent="0.25">
      <c r="F135" s="59"/>
      <c r="G135" s="60"/>
      <c r="H135" s="60"/>
      <c r="I135" s="60"/>
      <c r="J135" s="60"/>
      <c r="K135" s="60"/>
      <c r="L135" s="60"/>
      <c r="M135" s="60"/>
      <c r="N135" s="60"/>
    </row>
    <row r="136" spans="6:14" ht="15.75" x14ac:dyDescent="0.25">
      <c r="F136" s="59"/>
      <c r="G136" s="60"/>
      <c r="H136" s="60"/>
      <c r="I136" s="60"/>
      <c r="J136" s="60"/>
      <c r="K136" s="60"/>
      <c r="L136" s="60"/>
      <c r="M136" s="60"/>
      <c r="N136" s="60"/>
    </row>
    <row r="137" spans="6:14" ht="15.75" x14ac:dyDescent="0.25">
      <c r="F137" s="59"/>
      <c r="G137" s="60"/>
      <c r="H137" s="60"/>
      <c r="I137" s="60"/>
      <c r="J137" s="60"/>
      <c r="K137" s="60"/>
      <c r="L137" s="60"/>
      <c r="M137" s="60"/>
      <c r="N137" s="60"/>
    </row>
    <row r="138" spans="6:14" ht="15.75" x14ac:dyDescent="0.25">
      <c r="F138" s="59"/>
      <c r="G138" s="60"/>
      <c r="H138" s="60"/>
      <c r="I138" s="60"/>
      <c r="J138" s="60"/>
      <c r="K138" s="60"/>
      <c r="L138" s="60"/>
      <c r="M138" s="60"/>
      <c r="N138" s="60"/>
    </row>
    <row r="139" spans="6:14" ht="15.75" x14ac:dyDescent="0.25">
      <c r="F139" s="59"/>
      <c r="G139" s="60"/>
      <c r="H139" s="60"/>
      <c r="I139" s="60"/>
      <c r="J139" s="60"/>
      <c r="K139" s="60"/>
      <c r="L139" s="60"/>
      <c r="M139" s="60"/>
      <c r="N139" s="60"/>
    </row>
    <row r="140" spans="6:14" ht="15.75" x14ac:dyDescent="0.25">
      <c r="F140" s="59"/>
      <c r="G140" s="60"/>
      <c r="H140" s="60"/>
      <c r="I140" s="60"/>
      <c r="J140" s="60"/>
      <c r="K140" s="60"/>
      <c r="L140" s="60"/>
      <c r="M140" s="60"/>
      <c r="N140" s="60"/>
    </row>
    <row r="141" spans="6:14" ht="15.75" x14ac:dyDescent="0.25">
      <c r="F141" s="59"/>
      <c r="G141" s="60"/>
      <c r="H141" s="60"/>
      <c r="I141" s="60"/>
      <c r="J141" s="60"/>
      <c r="K141" s="60"/>
      <c r="L141" s="60"/>
      <c r="M141" s="60"/>
      <c r="N141" s="60"/>
    </row>
    <row r="142" spans="6:14" ht="15.75" x14ac:dyDescent="0.25">
      <c r="F142" s="59"/>
      <c r="G142" s="60"/>
      <c r="H142" s="60"/>
      <c r="I142" s="60"/>
      <c r="J142" s="60"/>
      <c r="K142" s="60"/>
      <c r="L142" s="60"/>
      <c r="M142" s="60"/>
      <c r="N142" s="60"/>
    </row>
    <row r="143" spans="6:14" ht="15.75" x14ac:dyDescent="0.25">
      <c r="F143" s="59"/>
      <c r="G143" s="60"/>
      <c r="H143" s="60"/>
      <c r="I143" s="60"/>
      <c r="J143" s="60"/>
      <c r="K143" s="60"/>
      <c r="L143" s="60"/>
      <c r="M143" s="60"/>
      <c r="N143" s="60"/>
    </row>
    <row r="144" spans="6:14" ht="15.75" x14ac:dyDescent="0.25">
      <c r="F144" s="59"/>
      <c r="G144" s="60"/>
      <c r="H144" s="60"/>
      <c r="I144" s="60"/>
      <c r="J144" s="60"/>
      <c r="K144" s="60"/>
      <c r="L144" s="60"/>
      <c r="M144" s="60"/>
      <c r="N144" s="60"/>
    </row>
    <row r="145" spans="6:14" ht="15.75" x14ac:dyDescent="0.25">
      <c r="F145" s="59"/>
      <c r="G145" s="60"/>
      <c r="H145" s="60"/>
      <c r="I145" s="60"/>
      <c r="J145" s="60"/>
      <c r="K145" s="60"/>
      <c r="L145" s="60"/>
      <c r="M145" s="60"/>
      <c r="N145" s="60"/>
    </row>
    <row r="146" spans="6:14" ht="15.75" x14ac:dyDescent="0.25">
      <c r="F146" s="59"/>
      <c r="G146" s="60"/>
      <c r="H146" s="60"/>
      <c r="I146" s="60"/>
      <c r="J146" s="60"/>
      <c r="K146" s="60"/>
      <c r="L146" s="60"/>
      <c r="M146" s="60"/>
      <c r="N146" s="60"/>
    </row>
    <row r="147" spans="6:14" ht="15.75" x14ac:dyDescent="0.25">
      <c r="F147" s="59"/>
      <c r="G147" s="60"/>
      <c r="H147" s="60"/>
      <c r="I147" s="60"/>
      <c r="J147" s="60"/>
      <c r="K147" s="60"/>
      <c r="L147" s="60"/>
      <c r="M147" s="60"/>
      <c r="N147" s="60"/>
    </row>
    <row r="148" spans="6:14" ht="15.75" x14ac:dyDescent="0.25">
      <c r="F148" s="59"/>
      <c r="G148" s="60"/>
      <c r="H148" s="60"/>
      <c r="I148" s="60"/>
      <c r="J148" s="60"/>
      <c r="K148" s="60"/>
      <c r="L148" s="60"/>
      <c r="M148" s="60"/>
      <c r="N148" s="60"/>
    </row>
    <row r="149" spans="6:14" ht="15.75" x14ac:dyDescent="0.25">
      <c r="F149" s="59"/>
      <c r="G149" s="60"/>
      <c r="H149" s="60"/>
      <c r="I149" s="60"/>
      <c r="J149" s="60"/>
      <c r="K149" s="60"/>
      <c r="L149" s="60"/>
      <c r="M149" s="60"/>
      <c r="N149" s="60"/>
    </row>
    <row r="150" spans="6:14" ht="15.75" x14ac:dyDescent="0.25">
      <c r="F150" s="59"/>
      <c r="G150" s="60"/>
      <c r="H150" s="60"/>
      <c r="I150" s="60"/>
      <c r="J150" s="60"/>
      <c r="K150" s="60"/>
      <c r="L150" s="60"/>
      <c r="M150" s="60"/>
      <c r="N150" s="60"/>
    </row>
    <row r="151" spans="6:14" ht="15.75" x14ac:dyDescent="0.25">
      <c r="F151" s="59"/>
      <c r="G151" s="60"/>
      <c r="H151" s="60"/>
      <c r="I151" s="60"/>
      <c r="J151" s="60"/>
      <c r="K151" s="60"/>
      <c r="L151" s="60"/>
      <c r="M151" s="60"/>
      <c r="N151" s="60"/>
    </row>
    <row r="152" spans="6:14" ht="15.75" x14ac:dyDescent="0.25">
      <c r="F152" s="59"/>
      <c r="G152" s="60"/>
      <c r="H152" s="60"/>
      <c r="I152" s="60"/>
      <c r="J152" s="60"/>
      <c r="K152" s="60"/>
      <c r="L152" s="60"/>
      <c r="M152" s="60"/>
      <c r="N152" s="60"/>
    </row>
    <row r="153" spans="6:14" ht="15.75" x14ac:dyDescent="0.25">
      <c r="F153" s="59"/>
      <c r="G153" s="60"/>
      <c r="H153" s="60"/>
      <c r="I153" s="60"/>
      <c r="J153" s="60"/>
      <c r="K153" s="60"/>
      <c r="L153" s="60"/>
      <c r="M153" s="60"/>
      <c r="N153" s="60"/>
    </row>
    <row r="154" spans="6:14" ht="15.75" x14ac:dyDescent="0.25">
      <c r="F154" s="59"/>
      <c r="G154" s="60"/>
      <c r="H154" s="60"/>
      <c r="I154" s="60"/>
      <c r="J154" s="60"/>
      <c r="K154" s="60"/>
      <c r="L154" s="60"/>
      <c r="M154" s="60"/>
      <c r="N154" s="60"/>
    </row>
    <row r="155" spans="6:14" ht="15.75" x14ac:dyDescent="0.25">
      <c r="F155" s="59"/>
      <c r="G155" s="60"/>
      <c r="H155" s="60"/>
      <c r="I155" s="60"/>
      <c r="J155" s="60"/>
      <c r="K155" s="60"/>
      <c r="L155" s="60"/>
      <c r="M155" s="60"/>
      <c r="N155" s="60"/>
    </row>
    <row r="156" spans="6:14" ht="15.75" x14ac:dyDescent="0.25">
      <c r="F156" s="59"/>
      <c r="G156" s="60"/>
      <c r="H156" s="60"/>
      <c r="I156" s="60"/>
      <c r="J156" s="60"/>
      <c r="K156" s="60"/>
      <c r="L156" s="60"/>
      <c r="M156" s="60"/>
      <c r="N156" s="60"/>
    </row>
    <row r="157" spans="6:14" ht="15.75" x14ac:dyDescent="0.25">
      <c r="F157" s="59"/>
      <c r="G157" s="60"/>
      <c r="H157" s="60"/>
      <c r="I157" s="60"/>
      <c r="J157" s="60"/>
      <c r="K157" s="60"/>
      <c r="L157" s="60"/>
      <c r="M157" s="60"/>
      <c r="N157" s="60"/>
    </row>
    <row r="158" spans="6:14" ht="15.75" x14ac:dyDescent="0.25">
      <c r="F158" s="59"/>
      <c r="G158" s="60"/>
      <c r="H158" s="60"/>
      <c r="I158" s="60"/>
      <c r="J158" s="60"/>
      <c r="K158" s="60"/>
      <c r="L158" s="60"/>
      <c r="M158" s="60"/>
      <c r="N158" s="60"/>
    </row>
    <row r="159" spans="6:14" ht="15.75" x14ac:dyDescent="0.25">
      <c r="F159" s="59"/>
      <c r="G159" s="60"/>
      <c r="H159" s="60"/>
      <c r="I159" s="60"/>
      <c r="J159" s="60"/>
      <c r="K159" s="60"/>
      <c r="L159" s="60"/>
      <c r="M159" s="60"/>
      <c r="N159" s="60"/>
    </row>
    <row r="160" spans="6:14" ht="15.75" x14ac:dyDescent="0.25">
      <c r="F160" s="59"/>
      <c r="G160" s="60"/>
      <c r="H160" s="60"/>
      <c r="I160" s="60"/>
      <c r="J160" s="60"/>
      <c r="K160" s="60"/>
      <c r="L160" s="60"/>
      <c r="M160" s="60"/>
      <c r="N160" s="60"/>
    </row>
    <row r="161" spans="6:14" ht="15.75" x14ac:dyDescent="0.25">
      <c r="F161" s="59"/>
      <c r="G161" s="60"/>
      <c r="H161" s="60"/>
      <c r="I161" s="60"/>
      <c r="J161" s="60"/>
      <c r="K161" s="60"/>
      <c r="L161" s="60"/>
      <c r="M161" s="60"/>
      <c r="N161" s="60"/>
    </row>
    <row r="162" spans="6:14" ht="15.75" x14ac:dyDescent="0.25">
      <c r="F162" s="59"/>
      <c r="G162" s="60"/>
      <c r="H162" s="60"/>
      <c r="I162" s="60"/>
      <c r="J162" s="60"/>
      <c r="K162" s="60"/>
      <c r="L162" s="60"/>
      <c r="M162" s="60"/>
      <c r="N162" s="60"/>
    </row>
    <row r="163" spans="6:14" ht="15.75" x14ac:dyDescent="0.25">
      <c r="F163" s="59"/>
      <c r="G163" s="60"/>
      <c r="H163" s="60"/>
      <c r="I163" s="60"/>
      <c r="J163" s="60"/>
      <c r="K163" s="60"/>
      <c r="L163" s="60"/>
      <c r="M163" s="60"/>
      <c r="N163" s="60"/>
    </row>
    <row r="164" spans="6:14" ht="15.75" x14ac:dyDescent="0.25">
      <c r="F164" s="59"/>
      <c r="G164" s="60"/>
      <c r="H164" s="60"/>
      <c r="I164" s="60"/>
      <c r="J164" s="60"/>
      <c r="K164" s="60"/>
      <c r="L164" s="60"/>
      <c r="M164" s="60"/>
      <c r="N164" s="60"/>
    </row>
    <row r="165" spans="6:14" ht="15.75" x14ac:dyDescent="0.25">
      <c r="F165" s="59"/>
      <c r="G165" s="60"/>
      <c r="H165" s="60"/>
      <c r="I165" s="60"/>
      <c r="J165" s="60"/>
      <c r="K165" s="60"/>
      <c r="L165" s="60"/>
      <c r="M165" s="60"/>
      <c r="N165" s="60"/>
    </row>
    <row r="166" spans="6:14" ht="15.75" x14ac:dyDescent="0.25">
      <c r="F166" s="59"/>
      <c r="G166" s="60"/>
      <c r="H166" s="60"/>
      <c r="I166" s="60"/>
      <c r="J166" s="60"/>
      <c r="K166" s="60"/>
      <c r="L166" s="60"/>
      <c r="M166" s="60"/>
      <c r="N166" s="60"/>
    </row>
    <row r="167" spans="6:14" ht="15.75" x14ac:dyDescent="0.25">
      <c r="F167" s="59"/>
      <c r="G167" s="60"/>
      <c r="H167" s="60"/>
      <c r="I167" s="60"/>
      <c r="J167" s="60"/>
      <c r="K167" s="60"/>
      <c r="L167" s="60"/>
      <c r="M167" s="60"/>
      <c r="N167" s="60"/>
    </row>
    <row r="168" spans="6:14" ht="15.75" x14ac:dyDescent="0.25">
      <c r="F168" s="59"/>
      <c r="G168" s="60"/>
      <c r="H168" s="60"/>
      <c r="I168" s="60"/>
      <c r="J168" s="60"/>
      <c r="K168" s="60"/>
      <c r="L168" s="60"/>
      <c r="M168" s="60"/>
      <c r="N168" s="60"/>
    </row>
    <row r="169" spans="6:14" ht="15.75" x14ac:dyDescent="0.25">
      <c r="F169" s="59"/>
      <c r="G169" s="60"/>
      <c r="H169" s="60"/>
      <c r="I169" s="60"/>
      <c r="J169" s="60"/>
      <c r="K169" s="60"/>
      <c r="L169" s="60"/>
      <c r="M169" s="60"/>
      <c r="N169" s="60"/>
    </row>
    <row r="170" spans="6:14" ht="15.75" x14ac:dyDescent="0.25">
      <c r="F170" s="59"/>
      <c r="G170" s="60"/>
      <c r="H170" s="60"/>
      <c r="I170" s="60"/>
      <c r="J170" s="60"/>
      <c r="K170" s="60"/>
      <c r="L170" s="60"/>
      <c r="M170" s="60"/>
      <c r="N170" s="60"/>
    </row>
    <row r="171" spans="6:14" ht="15.75" x14ac:dyDescent="0.25">
      <c r="F171" s="59"/>
      <c r="G171" s="60"/>
      <c r="H171" s="60"/>
      <c r="I171" s="60"/>
      <c r="J171" s="60"/>
      <c r="K171" s="60"/>
      <c r="L171" s="60"/>
      <c r="M171" s="60"/>
      <c r="N171" s="60"/>
    </row>
    <row r="172" spans="6:14" ht="15.75" x14ac:dyDescent="0.25">
      <c r="F172" s="59"/>
      <c r="G172" s="60"/>
      <c r="H172" s="60"/>
      <c r="I172" s="60"/>
      <c r="J172" s="60"/>
      <c r="K172" s="60"/>
      <c r="L172" s="60"/>
      <c r="M172" s="60"/>
      <c r="N172" s="60"/>
    </row>
    <row r="173" spans="6:14" ht="15.75" x14ac:dyDescent="0.25">
      <c r="F173" s="59"/>
      <c r="G173" s="60"/>
      <c r="H173" s="60"/>
      <c r="I173" s="60"/>
      <c r="J173" s="60"/>
      <c r="K173" s="60"/>
      <c r="L173" s="60"/>
      <c r="M173" s="60"/>
      <c r="N173" s="60"/>
    </row>
    <row r="174" spans="6:14" ht="15.75" x14ac:dyDescent="0.25">
      <c r="F174" s="59"/>
      <c r="G174" s="60"/>
      <c r="H174" s="60"/>
      <c r="I174" s="60"/>
      <c r="J174" s="60"/>
      <c r="K174" s="60"/>
      <c r="L174" s="60"/>
      <c r="M174" s="60"/>
      <c r="N174" s="60"/>
    </row>
    <row r="175" spans="6:14" ht="15.75" x14ac:dyDescent="0.25">
      <c r="F175" s="59"/>
      <c r="G175" s="60"/>
      <c r="H175" s="60"/>
      <c r="I175" s="60"/>
      <c r="J175" s="60"/>
      <c r="K175" s="60"/>
      <c r="L175" s="60"/>
      <c r="M175" s="60"/>
      <c r="N175" s="60"/>
    </row>
    <row r="176" spans="6:14" ht="15.75" x14ac:dyDescent="0.25">
      <c r="F176" s="59"/>
      <c r="G176" s="60"/>
      <c r="H176" s="60"/>
      <c r="I176" s="60"/>
      <c r="J176" s="60"/>
      <c r="K176" s="60"/>
      <c r="L176" s="60"/>
      <c r="M176" s="60"/>
      <c r="N176" s="60"/>
    </row>
    <row r="177" spans="6:14" ht="15.75" x14ac:dyDescent="0.25">
      <c r="F177" s="59"/>
      <c r="G177" s="60"/>
      <c r="H177" s="60"/>
      <c r="I177" s="60"/>
      <c r="J177" s="60"/>
      <c r="K177" s="60"/>
      <c r="L177" s="60"/>
      <c r="M177" s="60"/>
      <c r="N177" s="60"/>
    </row>
    <row r="178" spans="6:14" ht="15.75" x14ac:dyDescent="0.25">
      <c r="F178" s="59"/>
      <c r="G178" s="60"/>
      <c r="H178" s="60"/>
      <c r="I178" s="60"/>
      <c r="J178" s="60"/>
      <c r="K178" s="60"/>
      <c r="L178" s="60"/>
      <c r="M178" s="60"/>
      <c r="N178" s="60"/>
    </row>
    <row r="179" spans="6:14" ht="15.75" x14ac:dyDescent="0.25">
      <c r="F179" s="59"/>
      <c r="G179" s="60"/>
      <c r="H179" s="60"/>
      <c r="I179" s="60"/>
      <c r="J179" s="60"/>
      <c r="K179" s="60"/>
      <c r="L179" s="60"/>
      <c r="M179" s="60"/>
      <c r="N179" s="60"/>
    </row>
    <row r="180" spans="6:14" ht="15.75" x14ac:dyDescent="0.25">
      <c r="F180" s="59"/>
      <c r="G180" s="60"/>
      <c r="H180" s="60"/>
      <c r="I180" s="60"/>
      <c r="J180" s="60"/>
      <c r="K180" s="60"/>
      <c r="L180" s="60"/>
      <c r="M180" s="60"/>
      <c r="N180" s="60"/>
    </row>
    <row r="181" spans="6:14" ht="15.75" x14ac:dyDescent="0.25">
      <c r="F181" s="59"/>
      <c r="G181" s="60"/>
      <c r="H181" s="60"/>
      <c r="I181" s="60"/>
      <c r="J181" s="60"/>
      <c r="K181" s="60"/>
      <c r="L181" s="60"/>
      <c r="M181" s="60"/>
      <c r="N181" s="60"/>
    </row>
    <row r="182" spans="6:14" ht="15.75" x14ac:dyDescent="0.25">
      <c r="F182" s="59"/>
      <c r="G182" s="60"/>
      <c r="H182" s="60"/>
      <c r="I182" s="60"/>
      <c r="J182" s="60"/>
      <c r="K182" s="60"/>
      <c r="L182" s="60"/>
      <c r="M182" s="60"/>
      <c r="N182" s="60"/>
    </row>
    <row r="183" spans="6:14" ht="15.75" x14ac:dyDescent="0.25">
      <c r="F183" s="59"/>
      <c r="G183" s="60"/>
      <c r="H183" s="60"/>
      <c r="I183" s="60"/>
      <c r="J183" s="60"/>
      <c r="K183" s="60"/>
      <c r="L183" s="60"/>
      <c r="M183" s="60"/>
      <c r="N183" s="60"/>
    </row>
    <row r="184" spans="6:14" ht="15.75" x14ac:dyDescent="0.25">
      <c r="F184" s="59"/>
      <c r="G184" s="60"/>
      <c r="H184" s="60"/>
      <c r="I184" s="60"/>
      <c r="J184" s="60"/>
      <c r="K184" s="60"/>
      <c r="L184" s="60"/>
      <c r="M184" s="60"/>
      <c r="N184" s="60"/>
    </row>
    <row r="185" spans="6:14" ht="15.75" x14ac:dyDescent="0.25">
      <c r="F185" s="59"/>
      <c r="G185" s="60"/>
      <c r="H185" s="60"/>
      <c r="I185" s="60"/>
      <c r="J185" s="60"/>
      <c r="K185" s="60"/>
      <c r="L185" s="60"/>
      <c r="M185" s="60"/>
      <c r="N185" s="60"/>
    </row>
    <row r="186" spans="6:14" ht="15.75" x14ac:dyDescent="0.25">
      <c r="F186" s="59"/>
      <c r="G186" s="60"/>
      <c r="H186" s="60"/>
      <c r="I186" s="60"/>
      <c r="J186" s="60"/>
      <c r="K186" s="60"/>
      <c r="L186" s="60"/>
      <c r="M186" s="60"/>
      <c r="N186" s="60"/>
    </row>
    <row r="187" spans="6:14" ht="15.75" x14ac:dyDescent="0.25">
      <c r="F187" s="59"/>
      <c r="G187" s="60"/>
      <c r="H187" s="60"/>
      <c r="I187" s="60"/>
      <c r="J187" s="60"/>
      <c r="K187" s="60"/>
      <c r="L187" s="60"/>
      <c r="M187" s="60"/>
      <c r="N187" s="60"/>
    </row>
    <row r="188" spans="6:14" ht="15.75" x14ac:dyDescent="0.25">
      <c r="F188" s="59"/>
      <c r="G188" s="60"/>
      <c r="H188" s="60"/>
      <c r="I188" s="60"/>
      <c r="J188" s="60"/>
      <c r="K188" s="60"/>
      <c r="L188" s="60"/>
      <c r="M188" s="60"/>
      <c r="N188" s="60"/>
    </row>
    <row r="189" spans="6:14" ht="15.75" x14ac:dyDescent="0.25">
      <c r="F189" s="59"/>
      <c r="G189" s="60"/>
      <c r="H189" s="60"/>
      <c r="I189" s="60"/>
      <c r="J189" s="60"/>
      <c r="K189" s="60"/>
      <c r="L189" s="60"/>
      <c r="M189" s="60"/>
      <c r="N189" s="60"/>
    </row>
    <row r="190" spans="6:14" ht="15.75" x14ac:dyDescent="0.25">
      <c r="F190" s="59"/>
      <c r="G190" s="60"/>
      <c r="H190" s="60"/>
      <c r="I190" s="60"/>
      <c r="J190" s="60"/>
      <c r="K190" s="60"/>
      <c r="L190" s="60"/>
      <c r="M190" s="60"/>
      <c r="N190" s="60"/>
    </row>
    <row r="191" spans="6:14" ht="15.75" x14ac:dyDescent="0.25">
      <c r="F191" s="59"/>
      <c r="G191" s="60"/>
      <c r="H191" s="60"/>
      <c r="I191" s="60"/>
      <c r="J191" s="60"/>
      <c r="K191" s="60"/>
      <c r="L191" s="60"/>
      <c r="M191" s="60"/>
      <c r="N191" s="60"/>
    </row>
    <row r="192" spans="6:14" ht="15.75" x14ac:dyDescent="0.25">
      <c r="F192" s="59"/>
      <c r="G192" s="60"/>
      <c r="H192" s="60"/>
      <c r="I192" s="60"/>
      <c r="J192" s="60"/>
      <c r="K192" s="60"/>
      <c r="L192" s="60"/>
      <c r="M192" s="60"/>
      <c r="N192" s="60"/>
    </row>
    <row r="193" spans="6:14" ht="15.75" x14ac:dyDescent="0.25">
      <c r="F193" s="59"/>
      <c r="G193" s="60"/>
      <c r="H193" s="60"/>
      <c r="I193" s="60"/>
      <c r="J193" s="60"/>
      <c r="K193" s="60"/>
      <c r="L193" s="60"/>
      <c r="M193" s="60"/>
      <c r="N193" s="60"/>
    </row>
    <row r="194" spans="6:14" ht="15.75" x14ac:dyDescent="0.25">
      <c r="F194" s="59"/>
      <c r="G194" s="60"/>
      <c r="H194" s="60"/>
      <c r="I194" s="60"/>
      <c r="J194" s="60"/>
      <c r="K194" s="60"/>
      <c r="L194" s="60"/>
      <c r="M194" s="60"/>
      <c r="N194" s="60"/>
    </row>
    <row r="195" spans="6:14" ht="15.75" x14ac:dyDescent="0.25">
      <c r="F195" s="59"/>
      <c r="G195" s="60"/>
      <c r="H195" s="60"/>
      <c r="I195" s="60"/>
      <c r="J195" s="60"/>
      <c r="K195" s="60"/>
      <c r="L195" s="60"/>
      <c r="M195" s="60"/>
      <c r="N195" s="60"/>
    </row>
    <row r="196" spans="6:14" ht="15.75" x14ac:dyDescent="0.25">
      <c r="F196" s="59"/>
      <c r="G196" s="60"/>
      <c r="H196" s="60"/>
      <c r="I196" s="60"/>
      <c r="J196" s="60"/>
      <c r="K196" s="60"/>
      <c r="L196" s="60"/>
      <c r="M196" s="60"/>
      <c r="N196" s="60"/>
    </row>
    <row r="197" spans="6:14" ht="15.75" x14ac:dyDescent="0.25">
      <c r="F197" s="59"/>
      <c r="G197" s="60"/>
      <c r="H197" s="60"/>
      <c r="I197" s="60"/>
      <c r="J197" s="60"/>
      <c r="K197" s="60"/>
      <c r="L197" s="60"/>
      <c r="M197" s="60"/>
      <c r="N197" s="60"/>
    </row>
    <row r="198" spans="6:14" ht="15.75" x14ac:dyDescent="0.25">
      <c r="F198" s="59"/>
      <c r="G198" s="60"/>
      <c r="H198" s="60"/>
      <c r="I198" s="60"/>
      <c r="J198" s="60"/>
      <c r="K198" s="60"/>
      <c r="L198" s="60"/>
      <c r="M198" s="60"/>
      <c r="N198" s="60"/>
    </row>
    <row r="199" spans="6:14" ht="15.75" x14ac:dyDescent="0.25">
      <c r="F199" s="59"/>
      <c r="G199" s="60"/>
      <c r="H199" s="60"/>
      <c r="I199" s="60"/>
      <c r="J199" s="60"/>
      <c r="K199" s="60"/>
      <c r="L199" s="60"/>
      <c r="M199" s="60"/>
      <c r="N199" s="60"/>
    </row>
    <row r="200" spans="6:14" ht="15.75" x14ac:dyDescent="0.25">
      <c r="F200" s="59"/>
      <c r="G200" s="60"/>
      <c r="H200" s="60"/>
      <c r="I200" s="60"/>
      <c r="J200" s="60"/>
      <c r="K200" s="60"/>
      <c r="L200" s="60"/>
      <c r="M200" s="60"/>
      <c r="N200" s="60"/>
    </row>
    <row r="201" spans="6:14" ht="15.75" x14ac:dyDescent="0.25">
      <c r="F201" s="59"/>
      <c r="G201" s="60"/>
      <c r="H201" s="60"/>
      <c r="I201" s="60"/>
      <c r="J201" s="60"/>
      <c r="K201" s="60"/>
      <c r="L201" s="60"/>
      <c r="M201" s="60"/>
      <c r="N201" s="60"/>
    </row>
    <row r="202" spans="6:14" ht="15.75" x14ac:dyDescent="0.25">
      <c r="F202" s="59"/>
      <c r="G202" s="60"/>
      <c r="H202" s="60"/>
      <c r="I202" s="60"/>
      <c r="J202" s="60"/>
      <c r="K202" s="60"/>
      <c r="L202" s="60"/>
      <c r="M202" s="60"/>
      <c r="N202" s="60"/>
    </row>
    <row r="203" spans="6:14" ht="15.75" x14ac:dyDescent="0.25">
      <c r="F203" s="59"/>
      <c r="G203" s="60"/>
      <c r="H203" s="60"/>
      <c r="I203" s="60"/>
      <c r="J203" s="60"/>
      <c r="K203" s="60"/>
      <c r="L203" s="60"/>
      <c r="M203" s="60"/>
      <c r="N203" s="60"/>
    </row>
    <row r="204" spans="6:14" ht="15.75" x14ac:dyDescent="0.25">
      <c r="F204" s="59"/>
      <c r="G204" s="60"/>
      <c r="H204" s="60"/>
      <c r="I204" s="60"/>
      <c r="J204" s="60"/>
      <c r="K204" s="60"/>
      <c r="L204" s="60"/>
      <c r="M204" s="60"/>
      <c r="N204" s="60"/>
    </row>
    <row r="205" spans="6:14" ht="15.75" x14ac:dyDescent="0.25">
      <c r="F205" s="59"/>
      <c r="G205" s="60"/>
      <c r="H205" s="60"/>
      <c r="I205" s="60"/>
      <c r="J205" s="60"/>
      <c r="K205" s="60"/>
      <c r="L205" s="60"/>
      <c r="M205" s="60"/>
      <c r="N205" s="60"/>
    </row>
    <row r="206" spans="6:14" ht="15.75" x14ac:dyDescent="0.25">
      <c r="F206" s="59"/>
      <c r="G206" s="60"/>
      <c r="H206" s="60"/>
      <c r="I206" s="60"/>
      <c r="J206" s="60"/>
      <c r="K206" s="60"/>
      <c r="L206" s="60"/>
      <c r="M206" s="60"/>
      <c r="N206" s="60"/>
    </row>
    <row r="207" spans="6:14" ht="15.75" x14ac:dyDescent="0.25">
      <c r="F207" s="59"/>
      <c r="G207" s="60"/>
      <c r="H207" s="60"/>
      <c r="I207" s="60"/>
      <c r="J207" s="60"/>
      <c r="K207" s="60"/>
      <c r="L207" s="60"/>
      <c r="M207" s="60"/>
      <c r="N207" s="60"/>
    </row>
    <row r="208" spans="6:14" ht="15.75" x14ac:dyDescent="0.25">
      <c r="F208" s="59"/>
      <c r="G208" s="60"/>
      <c r="H208" s="60"/>
      <c r="I208" s="60"/>
      <c r="J208" s="60"/>
      <c r="K208" s="60"/>
      <c r="L208" s="60"/>
      <c r="M208" s="60"/>
      <c r="N208" s="60"/>
    </row>
    <row r="209" spans="6:14" ht="15.75" x14ac:dyDescent="0.25">
      <c r="F209" s="59"/>
      <c r="G209" s="60"/>
      <c r="H209" s="60"/>
      <c r="I209" s="60"/>
      <c r="J209" s="60"/>
      <c r="K209" s="60"/>
      <c r="L209" s="60"/>
      <c r="M209" s="60"/>
      <c r="N209" s="60"/>
    </row>
    <row r="210" spans="6:14" ht="15.75" x14ac:dyDescent="0.25">
      <c r="F210" s="59"/>
      <c r="G210" s="60"/>
      <c r="H210" s="60"/>
      <c r="I210" s="60"/>
      <c r="J210" s="60"/>
      <c r="K210" s="60"/>
      <c r="L210" s="60"/>
      <c r="M210" s="60"/>
      <c r="N210" s="60"/>
    </row>
    <row r="211" spans="6:14" ht="15.75" x14ac:dyDescent="0.25">
      <c r="F211" s="59"/>
      <c r="G211" s="60"/>
      <c r="H211" s="60"/>
      <c r="I211" s="60"/>
      <c r="J211" s="60"/>
      <c r="K211" s="60"/>
      <c r="L211" s="60"/>
      <c r="M211" s="60"/>
      <c r="N211" s="60"/>
    </row>
    <row r="212" spans="6:14" ht="15.75" x14ac:dyDescent="0.25">
      <c r="F212" s="59"/>
      <c r="G212" s="60"/>
      <c r="H212" s="60"/>
      <c r="I212" s="60"/>
      <c r="J212" s="60"/>
      <c r="K212" s="60"/>
      <c r="L212" s="60"/>
      <c r="M212" s="60"/>
      <c r="N212" s="60"/>
    </row>
    <row r="213" spans="6:14" ht="15.75" x14ac:dyDescent="0.25">
      <c r="F213" s="59"/>
      <c r="G213" s="60"/>
      <c r="H213" s="60"/>
      <c r="I213" s="60"/>
      <c r="J213" s="60"/>
      <c r="K213" s="60"/>
      <c r="L213" s="60"/>
      <c r="M213" s="60"/>
      <c r="N213" s="60"/>
    </row>
    <row r="214" spans="6:14" ht="15.75" x14ac:dyDescent="0.25">
      <c r="F214" s="59"/>
      <c r="G214" s="60"/>
      <c r="H214" s="60"/>
      <c r="I214" s="60"/>
      <c r="J214" s="60"/>
      <c r="K214" s="60"/>
      <c r="L214" s="60"/>
      <c r="M214" s="60"/>
      <c r="N214" s="60"/>
    </row>
    <row r="215" spans="6:14" ht="15.75" x14ac:dyDescent="0.25">
      <c r="F215" s="59"/>
      <c r="G215" s="60"/>
      <c r="H215" s="60"/>
      <c r="I215" s="60"/>
      <c r="J215" s="60"/>
      <c r="K215" s="60"/>
      <c r="L215" s="60"/>
      <c r="M215" s="60"/>
      <c r="N215" s="60"/>
    </row>
    <row r="216" spans="6:14" ht="15.75" x14ac:dyDescent="0.25">
      <c r="F216" s="59"/>
      <c r="G216" s="60"/>
      <c r="H216" s="60"/>
      <c r="I216" s="60"/>
      <c r="J216" s="60"/>
      <c r="K216" s="60"/>
      <c r="L216" s="60"/>
      <c r="M216" s="60"/>
      <c r="N216" s="60"/>
    </row>
    <row r="217" spans="6:14" ht="15.75" x14ac:dyDescent="0.25">
      <c r="F217" s="59"/>
      <c r="G217" s="60"/>
      <c r="H217" s="60"/>
      <c r="I217" s="60"/>
      <c r="J217" s="60"/>
      <c r="K217" s="60"/>
      <c r="L217" s="60"/>
      <c r="M217" s="60"/>
      <c r="N217" s="60"/>
    </row>
    <row r="218" spans="6:14" ht="15.75" x14ac:dyDescent="0.25">
      <c r="F218" s="59"/>
      <c r="G218" s="60"/>
      <c r="H218" s="60"/>
      <c r="I218" s="60"/>
      <c r="J218" s="60"/>
      <c r="K218" s="60"/>
      <c r="L218" s="60"/>
      <c r="M218" s="60"/>
      <c r="N218" s="60"/>
    </row>
    <row r="219" spans="6:14" ht="15.75" x14ac:dyDescent="0.25">
      <c r="F219" s="59"/>
      <c r="G219" s="60"/>
      <c r="H219" s="60"/>
      <c r="I219" s="60"/>
      <c r="J219" s="60"/>
      <c r="K219" s="60"/>
      <c r="L219" s="60"/>
      <c r="M219" s="60"/>
      <c r="N219" s="60"/>
    </row>
    <row r="220" spans="6:14" ht="15.75" x14ac:dyDescent="0.25">
      <c r="F220" s="59"/>
      <c r="G220" s="60"/>
      <c r="H220" s="60"/>
      <c r="I220" s="60"/>
      <c r="J220" s="60"/>
      <c r="K220" s="60"/>
      <c r="L220" s="60"/>
      <c r="M220" s="60"/>
      <c r="N220" s="60"/>
    </row>
    <row r="221" spans="6:14" ht="15.75" x14ac:dyDescent="0.25">
      <c r="F221" s="59"/>
      <c r="G221" s="60"/>
      <c r="H221" s="60"/>
      <c r="I221" s="60"/>
      <c r="J221" s="60"/>
      <c r="K221" s="60"/>
      <c r="L221" s="60"/>
      <c r="M221" s="60"/>
      <c r="N221" s="60"/>
    </row>
    <row r="222" spans="6:14" ht="15.75" x14ac:dyDescent="0.25">
      <c r="F222" s="59"/>
      <c r="G222" s="60"/>
      <c r="H222" s="60"/>
      <c r="I222" s="60"/>
      <c r="J222" s="60"/>
      <c r="K222" s="60"/>
      <c r="L222" s="60"/>
      <c r="M222" s="60"/>
      <c r="N222" s="60"/>
    </row>
    <row r="223" spans="6:14" ht="15.75" x14ac:dyDescent="0.25">
      <c r="F223" s="59"/>
      <c r="G223" s="60"/>
      <c r="H223" s="60"/>
      <c r="I223" s="60"/>
      <c r="J223" s="60"/>
      <c r="K223" s="60"/>
      <c r="L223" s="60"/>
      <c r="M223" s="60"/>
      <c r="N223" s="60"/>
    </row>
    <row r="224" spans="6:14" ht="15.75" x14ac:dyDescent="0.25">
      <c r="F224" s="59"/>
      <c r="G224" s="60"/>
      <c r="H224" s="60"/>
      <c r="I224" s="60"/>
      <c r="J224" s="60"/>
      <c r="K224" s="60"/>
      <c r="L224" s="60"/>
      <c r="M224" s="60"/>
      <c r="N224" s="60"/>
    </row>
    <row r="225" spans="6:14" ht="15.75" x14ac:dyDescent="0.25">
      <c r="F225" s="59"/>
      <c r="G225" s="60"/>
      <c r="H225" s="60"/>
      <c r="I225" s="60"/>
      <c r="J225" s="60"/>
      <c r="K225" s="60"/>
      <c r="L225" s="60"/>
      <c r="M225" s="60"/>
      <c r="N225" s="60"/>
    </row>
    <row r="226" spans="6:14" ht="15.75" x14ac:dyDescent="0.25">
      <c r="F226" s="59"/>
      <c r="G226" s="60"/>
      <c r="H226" s="60"/>
      <c r="I226" s="60"/>
      <c r="J226" s="60"/>
      <c r="K226" s="60"/>
      <c r="L226" s="60"/>
      <c r="M226" s="60"/>
      <c r="N226" s="60"/>
    </row>
    <row r="227" spans="6:14" ht="15.75" x14ac:dyDescent="0.25">
      <c r="F227" s="59"/>
      <c r="G227" s="60"/>
      <c r="H227" s="60"/>
      <c r="I227" s="60"/>
      <c r="J227" s="60"/>
      <c r="K227" s="60"/>
      <c r="L227" s="60"/>
      <c r="M227" s="60"/>
      <c r="N227" s="60"/>
    </row>
    <row r="228" spans="6:14" ht="15.75" x14ac:dyDescent="0.25">
      <c r="F228" s="59"/>
      <c r="G228" s="60"/>
      <c r="H228" s="60"/>
      <c r="I228" s="60"/>
      <c r="J228" s="60"/>
      <c r="K228" s="60"/>
      <c r="L228" s="60"/>
      <c r="M228" s="60"/>
      <c r="N228" s="60"/>
    </row>
    <row r="229" spans="6:14" ht="15.75" x14ac:dyDescent="0.25">
      <c r="F229" s="59"/>
      <c r="G229" s="60"/>
      <c r="H229" s="60"/>
      <c r="I229" s="60"/>
      <c r="J229" s="60"/>
      <c r="K229" s="60"/>
      <c r="L229" s="60"/>
      <c r="M229" s="60"/>
      <c r="N229" s="60"/>
    </row>
    <row r="230" spans="6:14" ht="15.75" x14ac:dyDescent="0.25">
      <c r="F230" s="59"/>
      <c r="G230" s="60"/>
      <c r="H230" s="60"/>
      <c r="I230" s="60"/>
      <c r="J230" s="60"/>
      <c r="K230" s="60"/>
      <c r="L230" s="60"/>
      <c r="M230" s="60"/>
      <c r="N230" s="60"/>
    </row>
    <row r="231" spans="6:14" ht="15.75" x14ac:dyDescent="0.25">
      <c r="F231" s="59"/>
      <c r="G231" s="60"/>
      <c r="H231" s="60"/>
      <c r="I231" s="60"/>
      <c r="J231" s="60"/>
      <c r="K231" s="60"/>
      <c r="L231" s="60"/>
      <c r="M231" s="60"/>
      <c r="N231" s="60"/>
    </row>
    <row r="232" spans="6:14" ht="15.75" x14ac:dyDescent="0.25">
      <c r="F232" s="59"/>
      <c r="G232" s="60"/>
      <c r="H232" s="60"/>
      <c r="I232" s="60"/>
      <c r="J232" s="60"/>
      <c r="K232" s="60"/>
      <c r="L232" s="60"/>
      <c r="M232" s="60"/>
      <c r="N232" s="60"/>
    </row>
    <row r="233" spans="6:14" ht="15.75" x14ac:dyDescent="0.25">
      <c r="F233" s="59"/>
      <c r="G233" s="60"/>
      <c r="H233" s="60"/>
      <c r="I233" s="60"/>
      <c r="J233" s="60"/>
      <c r="K233" s="60"/>
      <c r="L233" s="60"/>
      <c r="M233" s="60"/>
      <c r="N233" s="60"/>
    </row>
    <row r="234" spans="6:14" ht="15.75" x14ac:dyDescent="0.25">
      <c r="F234" s="59"/>
      <c r="G234" s="60"/>
      <c r="H234" s="60"/>
      <c r="I234" s="60"/>
      <c r="J234" s="60"/>
      <c r="K234" s="60"/>
      <c r="L234" s="60"/>
      <c r="M234" s="60"/>
      <c r="N234" s="60"/>
    </row>
    <row r="235" spans="6:14" ht="15.75" x14ac:dyDescent="0.25">
      <c r="F235" s="59"/>
      <c r="G235" s="60"/>
      <c r="H235" s="60"/>
      <c r="I235" s="60"/>
      <c r="J235" s="60"/>
      <c r="K235" s="60"/>
      <c r="L235" s="60"/>
      <c r="M235" s="60"/>
      <c r="N235" s="60"/>
    </row>
    <row r="236" spans="6:14" ht="15.75" x14ac:dyDescent="0.25">
      <c r="F236" s="59"/>
      <c r="G236" s="60"/>
      <c r="H236" s="60"/>
      <c r="I236" s="60"/>
      <c r="J236" s="60"/>
      <c r="K236" s="60"/>
      <c r="L236" s="60"/>
      <c r="M236" s="60"/>
      <c r="N236" s="60"/>
    </row>
    <row r="237" spans="6:14" ht="15.75" x14ac:dyDescent="0.25">
      <c r="F237" s="59"/>
      <c r="G237" s="60"/>
      <c r="H237" s="60"/>
      <c r="I237" s="60"/>
      <c r="J237" s="60"/>
      <c r="K237" s="60"/>
      <c r="L237" s="60"/>
      <c r="M237" s="60"/>
      <c r="N237" s="60"/>
    </row>
    <row r="238" spans="6:14" ht="15.75" x14ac:dyDescent="0.25">
      <c r="F238" s="59"/>
      <c r="G238" s="60"/>
      <c r="H238" s="60"/>
      <c r="I238" s="60"/>
      <c r="J238" s="60"/>
      <c r="K238" s="60"/>
      <c r="L238" s="60"/>
      <c r="M238" s="60"/>
      <c r="N238" s="60"/>
    </row>
    <row r="239" spans="6:14" ht="15.75" x14ac:dyDescent="0.25">
      <c r="F239" s="59"/>
      <c r="G239" s="60"/>
      <c r="H239" s="60"/>
      <c r="I239" s="60"/>
      <c r="J239" s="60"/>
      <c r="K239" s="60"/>
      <c r="L239" s="60"/>
      <c r="M239" s="60"/>
      <c r="N239" s="60"/>
    </row>
    <row r="240" spans="6:14" ht="15.75" x14ac:dyDescent="0.25">
      <c r="F240" s="59"/>
      <c r="G240" s="60"/>
      <c r="H240" s="60"/>
      <c r="I240" s="60"/>
      <c r="J240" s="60"/>
      <c r="K240" s="60"/>
      <c r="L240" s="60"/>
      <c r="M240" s="60"/>
      <c r="N240" s="60"/>
    </row>
    <row r="241" spans="6:14" ht="15.75" x14ac:dyDescent="0.25">
      <c r="F241" s="59"/>
      <c r="G241" s="60"/>
      <c r="H241" s="60"/>
      <c r="I241" s="60"/>
      <c r="J241" s="60"/>
      <c r="K241" s="60"/>
      <c r="L241" s="60"/>
      <c r="M241" s="60"/>
      <c r="N241" s="60"/>
    </row>
    <row r="242" spans="6:14" ht="15.75" x14ac:dyDescent="0.25">
      <c r="F242" s="59"/>
      <c r="G242" s="60"/>
      <c r="H242" s="60"/>
      <c r="I242" s="60"/>
      <c r="J242" s="60"/>
      <c r="K242" s="60"/>
      <c r="L242" s="60"/>
      <c r="M242" s="60"/>
      <c r="N242" s="60"/>
    </row>
    <row r="243" spans="6:14" ht="15.75" x14ac:dyDescent="0.25">
      <c r="F243" s="59"/>
      <c r="G243" s="60"/>
      <c r="H243" s="60"/>
      <c r="I243" s="60"/>
      <c r="J243" s="60"/>
      <c r="K243" s="60"/>
      <c r="L243" s="60"/>
      <c r="M243" s="60"/>
      <c r="N243" s="60"/>
    </row>
    <row r="244" spans="6:14" ht="15.75" x14ac:dyDescent="0.25">
      <c r="F244" s="59"/>
      <c r="G244" s="60"/>
      <c r="H244" s="60"/>
      <c r="I244" s="60"/>
      <c r="J244" s="60"/>
      <c r="K244" s="60"/>
      <c r="L244" s="60"/>
      <c r="M244" s="60"/>
      <c r="N244" s="60"/>
    </row>
    <row r="245" spans="6:14" ht="15.75" x14ac:dyDescent="0.25">
      <c r="F245" s="59"/>
      <c r="G245" s="60"/>
      <c r="H245" s="60"/>
      <c r="I245" s="60"/>
      <c r="J245" s="60"/>
      <c r="K245" s="60"/>
      <c r="L245" s="60"/>
      <c r="M245" s="60"/>
      <c r="N245" s="60"/>
    </row>
    <row r="246" spans="6:14" ht="15.75" x14ac:dyDescent="0.25">
      <c r="F246" s="59"/>
      <c r="G246" s="60"/>
      <c r="H246" s="60"/>
      <c r="I246" s="60"/>
      <c r="J246" s="60"/>
      <c r="K246" s="60"/>
      <c r="L246" s="60"/>
      <c r="M246" s="60"/>
      <c r="N246" s="60"/>
    </row>
    <row r="247" spans="6:14" ht="15.75" x14ac:dyDescent="0.25">
      <c r="F247" s="59"/>
      <c r="G247" s="60"/>
      <c r="H247" s="60"/>
      <c r="I247" s="60"/>
      <c r="J247" s="60"/>
      <c r="K247" s="60"/>
      <c r="L247" s="60"/>
      <c r="M247" s="60"/>
      <c r="N247" s="60"/>
    </row>
    <row r="248" spans="6:14" ht="15.75" x14ac:dyDescent="0.25">
      <c r="F248" s="59"/>
      <c r="G248" s="60"/>
      <c r="H248" s="60"/>
      <c r="I248" s="60"/>
      <c r="J248" s="60"/>
      <c r="K248" s="60"/>
      <c r="L248" s="60"/>
      <c r="M248" s="60"/>
      <c r="N248" s="60"/>
    </row>
    <row r="249" spans="6:14" ht="15.75" x14ac:dyDescent="0.25">
      <c r="F249" s="59"/>
      <c r="G249" s="60"/>
      <c r="H249" s="60"/>
      <c r="I249" s="60"/>
      <c r="J249" s="60"/>
      <c r="K249" s="60"/>
      <c r="L249" s="60"/>
      <c r="M249" s="60"/>
      <c r="N249" s="60"/>
    </row>
    <row r="250" spans="6:14" ht="15.75" x14ac:dyDescent="0.25">
      <c r="F250" s="59"/>
      <c r="G250" s="60"/>
      <c r="H250" s="60"/>
      <c r="I250" s="60"/>
      <c r="J250" s="60"/>
      <c r="K250" s="60"/>
      <c r="L250" s="60"/>
      <c r="M250" s="60"/>
      <c r="N250" s="60"/>
    </row>
    <row r="251" spans="6:14" ht="15.75" x14ac:dyDescent="0.25">
      <c r="F251" s="59"/>
      <c r="G251" s="60"/>
      <c r="H251" s="60"/>
      <c r="I251" s="60"/>
      <c r="J251" s="60"/>
      <c r="K251" s="60"/>
      <c r="L251" s="60"/>
      <c r="M251" s="60"/>
      <c r="N251" s="60"/>
    </row>
    <row r="252" spans="6:14" ht="15.75" x14ac:dyDescent="0.25">
      <c r="F252" s="59"/>
      <c r="G252" s="60"/>
      <c r="H252" s="60"/>
      <c r="I252" s="60"/>
      <c r="J252" s="60"/>
      <c r="K252" s="60"/>
      <c r="L252" s="60"/>
      <c r="M252" s="60"/>
      <c r="N252" s="60"/>
    </row>
    <row r="253" spans="6:14" ht="15.75" x14ac:dyDescent="0.25">
      <c r="F253" s="59"/>
      <c r="G253" s="60"/>
      <c r="H253" s="60"/>
      <c r="I253" s="60"/>
      <c r="J253" s="60"/>
      <c r="K253" s="60"/>
      <c r="L253" s="60"/>
      <c r="M253" s="60"/>
      <c r="N253" s="60"/>
    </row>
    <row r="254" spans="6:14" ht="15.75" x14ac:dyDescent="0.25">
      <c r="F254" s="59"/>
      <c r="G254" s="60"/>
      <c r="H254" s="60"/>
      <c r="I254" s="60"/>
      <c r="J254" s="60"/>
      <c r="K254" s="60"/>
      <c r="L254" s="60"/>
      <c r="M254" s="60"/>
      <c r="N254" s="60"/>
    </row>
    <row r="255" spans="6:14" ht="15.75" x14ac:dyDescent="0.25">
      <c r="F255" s="59"/>
      <c r="G255" s="60"/>
      <c r="H255" s="60"/>
      <c r="I255" s="60"/>
      <c r="J255" s="60"/>
      <c r="K255" s="60"/>
      <c r="L255" s="60"/>
      <c r="M255" s="60"/>
      <c r="N255" s="60"/>
    </row>
    <row r="256" spans="6:14" ht="15.75" x14ac:dyDescent="0.25">
      <c r="F256" s="59"/>
      <c r="G256" s="60"/>
      <c r="H256" s="60"/>
      <c r="I256" s="60"/>
      <c r="J256" s="60"/>
      <c r="K256" s="60"/>
      <c r="L256" s="60"/>
      <c r="M256" s="60"/>
      <c r="N256" s="60"/>
    </row>
    <row r="257" spans="6:14" ht="15.75" x14ac:dyDescent="0.25">
      <c r="F257" s="59"/>
      <c r="G257" s="60"/>
      <c r="H257" s="60"/>
      <c r="I257" s="60"/>
      <c r="J257" s="60"/>
      <c r="K257" s="60"/>
      <c r="L257" s="60"/>
      <c r="M257" s="60"/>
      <c r="N257" s="60"/>
    </row>
    <row r="258" spans="6:14" ht="15.75" x14ac:dyDescent="0.25">
      <c r="F258" s="59"/>
      <c r="G258" s="60"/>
      <c r="H258" s="60"/>
      <c r="I258" s="60"/>
      <c r="J258" s="60"/>
      <c r="K258" s="60"/>
      <c r="L258" s="60"/>
      <c r="M258" s="60"/>
      <c r="N258" s="60"/>
    </row>
    <row r="259" spans="6:14" ht="15.75" x14ac:dyDescent="0.25">
      <c r="F259" s="59"/>
      <c r="G259" s="60"/>
      <c r="H259" s="60"/>
      <c r="I259" s="60"/>
      <c r="J259" s="60"/>
      <c r="K259" s="60"/>
      <c r="L259" s="60"/>
      <c r="M259" s="60"/>
      <c r="N259" s="60"/>
    </row>
    <row r="260" spans="6:14" ht="15.75" x14ac:dyDescent="0.25">
      <c r="F260" s="59"/>
      <c r="G260" s="60"/>
      <c r="H260" s="60"/>
      <c r="I260" s="60"/>
      <c r="J260" s="60"/>
      <c r="K260" s="60"/>
      <c r="L260" s="60"/>
      <c r="M260" s="60"/>
      <c r="N260" s="60"/>
    </row>
    <row r="261" spans="6:14" ht="15.75" x14ac:dyDescent="0.25">
      <c r="F261" s="59"/>
      <c r="G261" s="60"/>
      <c r="H261" s="60"/>
      <c r="I261" s="60"/>
      <c r="J261" s="60"/>
      <c r="K261" s="60"/>
      <c r="L261" s="60"/>
      <c r="M261" s="60"/>
      <c r="N261" s="60"/>
    </row>
    <row r="262" spans="6:14" ht="15.75" x14ac:dyDescent="0.25">
      <c r="F262" s="59"/>
      <c r="G262" s="60"/>
      <c r="H262" s="60"/>
      <c r="I262" s="60"/>
      <c r="J262" s="60"/>
      <c r="K262" s="60"/>
      <c r="L262" s="60"/>
      <c r="M262" s="60"/>
      <c r="N262" s="60"/>
    </row>
    <row r="263" spans="6:14" ht="15.75" x14ac:dyDescent="0.25">
      <c r="F263" s="59"/>
      <c r="G263" s="60"/>
      <c r="H263" s="60"/>
      <c r="I263" s="60"/>
      <c r="J263" s="60"/>
      <c r="K263" s="60"/>
      <c r="L263" s="60"/>
      <c r="M263" s="60"/>
      <c r="N263" s="60"/>
    </row>
    <row r="264" spans="6:14" ht="15.75" x14ac:dyDescent="0.25">
      <c r="F264" s="59"/>
      <c r="G264" s="60"/>
      <c r="H264" s="60"/>
      <c r="I264" s="60"/>
      <c r="J264" s="60"/>
      <c r="K264" s="60"/>
      <c r="L264" s="60"/>
      <c r="M264" s="60"/>
      <c r="N264" s="60"/>
    </row>
    <row r="265" spans="6:14" ht="15.75" x14ac:dyDescent="0.25">
      <c r="F265" s="59"/>
      <c r="G265" s="60"/>
      <c r="H265" s="60"/>
      <c r="I265" s="60"/>
      <c r="J265" s="60"/>
      <c r="K265" s="60"/>
      <c r="L265" s="60"/>
      <c r="M265" s="60"/>
      <c r="N265" s="60"/>
    </row>
    <row r="266" spans="6:14" ht="15.75" x14ac:dyDescent="0.25">
      <c r="F266" s="59"/>
      <c r="G266" s="60"/>
      <c r="H266" s="60"/>
      <c r="I266" s="60"/>
      <c r="J266" s="60"/>
      <c r="K266" s="60"/>
      <c r="L266" s="60"/>
      <c r="M266" s="60"/>
      <c r="N266" s="60"/>
    </row>
    <row r="267" spans="6:14" ht="15.75" x14ac:dyDescent="0.25">
      <c r="F267" s="59"/>
      <c r="G267" s="60"/>
      <c r="H267" s="60"/>
      <c r="I267" s="60"/>
      <c r="J267" s="60"/>
      <c r="K267" s="60"/>
      <c r="L267" s="60"/>
      <c r="M267" s="60"/>
      <c r="N267" s="60"/>
    </row>
    <row r="268" spans="6:14" ht="15.75" x14ac:dyDescent="0.25">
      <c r="F268" s="59"/>
      <c r="G268" s="60"/>
      <c r="H268" s="60"/>
      <c r="I268" s="60"/>
      <c r="J268" s="60"/>
      <c r="K268" s="60"/>
      <c r="L268" s="60"/>
      <c r="M268" s="60"/>
      <c r="N268" s="60"/>
    </row>
    <row r="269" spans="6:14" ht="15.75" x14ac:dyDescent="0.25">
      <c r="F269" s="59"/>
      <c r="G269" s="60"/>
      <c r="H269" s="60"/>
      <c r="I269" s="60"/>
      <c r="J269" s="60"/>
      <c r="K269" s="60"/>
      <c r="L269" s="60"/>
      <c r="M269" s="60"/>
      <c r="N269" s="60"/>
    </row>
    <row r="270" spans="6:14" ht="15.75" x14ac:dyDescent="0.25">
      <c r="F270" s="59"/>
      <c r="G270" s="60"/>
      <c r="H270" s="60"/>
      <c r="I270" s="60"/>
      <c r="J270" s="60"/>
      <c r="K270" s="60"/>
      <c r="L270" s="60"/>
      <c r="M270" s="60"/>
      <c r="N270" s="60"/>
    </row>
    <row r="271" spans="6:14" ht="15.75" x14ac:dyDescent="0.25">
      <c r="F271" s="59"/>
      <c r="G271" s="60"/>
      <c r="H271" s="60"/>
      <c r="I271" s="60"/>
      <c r="J271" s="60"/>
      <c r="K271" s="60"/>
      <c r="L271" s="60"/>
      <c r="M271" s="60"/>
      <c r="N271" s="60"/>
    </row>
    <row r="272" spans="6:14" ht="15.75" x14ac:dyDescent="0.25">
      <c r="F272" s="59"/>
      <c r="G272" s="60"/>
      <c r="H272" s="60"/>
      <c r="I272" s="60"/>
      <c r="J272" s="60"/>
      <c r="K272" s="60"/>
      <c r="L272" s="60"/>
      <c r="M272" s="60"/>
      <c r="N272" s="60"/>
    </row>
    <row r="273" spans="6:14" ht="15.75" x14ac:dyDescent="0.25">
      <c r="F273" s="59"/>
      <c r="G273" s="60"/>
      <c r="H273" s="60"/>
      <c r="I273" s="60"/>
      <c r="J273" s="60"/>
      <c r="K273" s="60"/>
      <c r="L273" s="60"/>
      <c r="M273" s="60"/>
      <c r="N273" s="60"/>
    </row>
    <row r="274" spans="6:14" ht="15.75" x14ac:dyDescent="0.25">
      <c r="F274" s="59"/>
      <c r="G274" s="60"/>
      <c r="H274" s="60"/>
      <c r="I274" s="60"/>
      <c r="J274" s="60"/>
      <c r="K274" s="60"/>
      <c r="L274" s="60"/>
      <c r="M274" s="60"/>
      <c r="N274" s="60"/>
    </row>
    <row r="275" spans="6:14" ht="15.75" x14ac:dyDescent="0.25">
      <c r="F275" s="59"/>
      <c r="G275" s="60"/>
      <c r="H275" s="60"/>
      <c r="I275" s="60"/>
      <c r="J275" s="60"/>
      <c r="K275" s="60"/>
      <c r="L275" s="60"/>
      <c r="M275" s="60"/>
      <c r="N275" s="60"/>
    </row>
    <row r="276" spans="6:14" ht="15.75" x14ac:dyDescent="0.25">
      <c r="F276" s="59"/>
      <c r="G276" s="60"/>
      <c r="H276" s="60"/>
      <c r="I276" s="60"/>
      <c r="J276" s="60"/>
      <c r="K276" s="60"/>
      <c r="L276" s="60"/>
      <c r="M276" s="60"/>
      <c r="N276" s="60"/>
    </row>
    <row r="277" spans="6:14" ht="15.75" x14ac:dyDescent="0.25">
      <c r="F277" s="59"/>
      <c r="G277" s="60"/>
      <c r="H277" s="60"/>
      <c r="I277" s="60"/>
      <c r="J277" s="60"/>
      <c r="K277" s="60"/>
      <c r="L277" s="60"/>
      <c r="M277" s="60"/>
      <c r="N277" s="60"/>
    </row>
    <row r="278" spans="6:14" ht="15.75" x14ac:dyDescent="0.25">
      <c r="F278" s="59"/>
      <c r="G278" s="60"/>
      <c r="H278" s="60"/>
      <c r="I278" s="60"/>
      <c r="J278" s="60"/>
      <c r="K278" s="60"/>
      <c r="L278" s="60"/>
      <c r="M278" s="60"/>
      <c r="N278" s="60"/>
    </row>
    <row r="279" spans="6:14" ht="15.75" x14ac:dyDescent="0.25">
      <c r="F279" s="59"/>
      <c r="G279" s="60"/>
      <c r="H279" s="60"/>
      <c r="I279" s="60"/>
      <c r="J279" s="60"/>
      <c r="K279" s="60"/>
      <c r="L279" s="60"/>
      <c r="M279" s="60"/>
      <c r="N279" s="60"/>
    </row>
    <row r="280" spans="6:14" ht="15.75" x14ac:dyDescent="0.25">
      <c r="F280" s="59"/>
      <c r="G280" s="60"/>
      <c r="H280" s="60"/>
      <c r="I280" s="60"/>
      <c r="J280" s="60"/>
      <c r="K280" s="60"/>
      <c r="L280" s="60"/>
      <c r="M280" s="60"/>
      <c r="N280" s="60"/>
    </row>
    <row r="281" spans="6:14" ht="15.75" x14ac:dyDescent="0.25">
      <c r="F281" s="59"/>
      <c r="G281" s="60"/>
      <c r="H281" s="60"/>
      <c r="I281" s="60"/>
      <c r="J281" s="60"/>
      <c r="K281" s="60"/>
      <c r="L281" s="60"/>
      <c r="M281" s="60"/>
      <c r="N281" s="60"/>
    </row>
    <row r="282" spans="6:14" ht="15.75" x14ac:dyDescent="0.25">
      <c r="F282" s="59"/>
      <c r="G282" s="60"/>
      <c r="H282" s="60"/>
      <c r="I282" s="60"/>
      <c r="J282" s="60"/>
      <c r="K282" s="60"/>
      <c r="L282" s="60"/>
      <c r="M282" s="60"/>
      <c r="N282" s="60"/>
    </row>
    <row r="283" spans="6:14" ht="15.75" x14ac:dyDescent="0.25">
      <c r="F283" s="59"/>
      <c r="G283" s="60"/>
      <c r="H283" s="60"/>
      <c r="I283" s="60"/>
      <c r="J283" s="60"/>
      <c r="K283" s="60"/>
      <c r="L283" s="60"/>
      <c r="M283" s="60"/>
      <c r="N283" s="60"/>
    </row>
    <row r="284" spans="6:14" ht="15.75" x14ac:dyDescent="0.25">
      <c r="F284" s="59"/>
      <c r="G284" s="60"/>
      <c r="H284" s="60"/>
      <c r="I284" s="60"/>
      <c r="J284" s="60"/>
      <c r="K284" s="60"/>
      <c r="L284" s="60"/>
      <c r="M284" s="60"/>
      <c r="N284" s="60"/>
    </row>
    <row r="285" spans="6:14" ht="15.75" x14ac:dyDescent="0.25">
      <c r="F285" s="59"/>
      <c r="G285" s="60"/>
      <c r="H285" s="60"/>
      <c r="I285" s="60"/>
      <c r="J285" s="60"/>
      <c r="K285" s="60"/>
      <c r="L285" s="60"/>
      <c r="M285" s="60"/>
      <c r="N285" s="60"/>
    </row>
    <row r="286" spans="6:14" ht="15.75" x14ac:dyDescent="0.25">
      <c r="F286" s="59"/>
      <c r="G286" s="60"/>
      <c r="H286" s="60"/>
      <c r="I286" s="60"/>
      <c r="J286" s="60"/>
      <c r="K286" s="60"/>
      <c r="L286" s="60"/>
      <c r="M286" s="60"/>
      <c r="N286" s="60"/>
    </row>
    <row r="287" spans="6:14" ht="15.75" x14ac:dyDescent="0.25">
      <c r="F287" s="59"/>
      <c r="G287" s="60"/>
      <c r="H287" s="60"/>
      <c r="I287" s="60"/>
      <c r="J287" s="60"/>
      <c r="K287" s="60"/>
      <c r="L287" s="60"/>
      <c r="M287" s="60"/>
      <c r="N287" s="60"/>
    </row>
    <row r="288" spans="6:14" ht="15.75" x14ac:dyDescent="0.25">
      <c r="F288" s="59"/>
      <c r="G288" s="60"/>
      <c r="H288" s="60"/>
      <c r="I288" s="60"/>
      <c r="J288" s="60"/>
      <c r="K288" s="60"/>
      <c r="L288" s="60"/>
      <c r="M288" s="60"/>
      <c r="N288" s="60"/>
    </row>
    <row r="289" spans="6:14" ht="15.75" x14ac:dyDescent="0.25">
      <c r="F289" s="59"/>
      <c r="G289" s="60"/>
      <c r="H289" s="60"/>
      <c r="I289" s="60"/>
      <c r="J289" s="60"/>
      <c r="K289" s="60"/>
      <c r="L289" s="60"/>
      <c r="M289" s="60"/>
      <c r="N289" s="60"/>
    </row>
    <row r="290" spans="6:14" ht="15.75" x14ac:dyDescent="0.25">
      <c r="F290" s="59"/>
      <c r="G290" s="60"/>
      <c r="H290" s="60"/>
      <c r="I290" s="60"/>
      <c r="J290" s="60"/>
      <c r="K290" s="60"/>
      <c r="L290" s="60"/>
      <c r="M290" s="60"/>
      <c r="N290" s="60"/>
    </row>
    <row r="291" spans="6:14" ht="15.75" x14ac:dyDescent="0.25">
      <c r="F291" s="59"/>
      <c r="G291" s="60"/>
      <c r="H291" s="60"/>
      <c r="I291" s="60"/>
      <c r="J291" s="60"/>
      <c r="K291" s="60"/>
      <c r="L291" s="60"/>
      <c r="M291" s="60"/>
      <c r="N291" s="60"/>
    </row>
    <row r="292" spans="6:14" ht="15.75" x14ac:dyDescent="0.25">
      <c r="F292" s="59"/>
      <c r="G292" s="60"/>
      <c r="H292" s="60"/>
      <c r="I292" s="60"/>
      <c r="J292" s="60"/>
      <c r="K292" s="60"/>
      <c r="L292" s="60"/>
      <c r="M292" s="60"/>
      <c r="N292" s="60"/>
    </row>
    <row r="293" spans="6:14" ht="15.75" x14ac:dyDescent="0.25">
      <c r="F293" s="59"/>
      <c r="G293" s="60"/>
      <c r="H293" s="60"/>
      <c r="I293" s="60"/>
      <c r="J293" s="60"/>
      <c r="K293" s="60"/>
      <c r="L293" s="60"/>
      <c r="M293" s="60"/>
      <c r="N293" s="60"/>
    </row>
    <row r="294" spans="6:14" ht="15.75" x14ac:dyDescent="0.25">
      <c r="F294" s="59"/>
      <c r="G294" s="60"/>
      <c r="H294" s="60"/>
      <c r="I294" s="60"/>
      <c r="J294" s="60"/>
      <c r="K294" s="60"/>
      <c r="L294" s="60"/>
      <c r="M294" s="60"/>
      <c r="N294" s="60"/>
    </row>
    <row r="295" spans="6:14" ht="15.75" x14ac:dyDescent="0.25">
      <c r="F295" s="59"/>
      <c r="G295" s="60"/>
      <c r="H295" s="60"/>
      <c r="I295" s="60"/>
      <c r="J295" s="60"/>
      <c r="K295" s="60"/>
      <c r="L295" s="60"/>
      <c r="M295" s="60"/>
      <c r="N295" s="60"/>
    </row>
    <row r="296" spans="6:14" ht="15.75" x14ac:dyDescent="0.25">
      <c r="F296" s="59"/>
      <c r="G296" s="60"/>
      <c r="H296" s="60"/>
      <c r="I296" s="60"/>
      <c r="J296" s="60"/>
      <c r="K296" s="60"/>
      <c r="L296" s="60"/>
      <c r="M296" s="60"/>
      <c r="N296" s="60"/>
    </row>
    <row r="297" spans="6:14" ht="15.75" x14ac:dyDescent="0.25">
      <c r="F297" s="59"/>
      <c r="G297" s="60"/>
      <c r="H297" s="60"/>
      <c r="I297" s="60"/>
      <c r="J297" s="60"/>
      <c r="K297" s="60"/>
      <c r="L297" s="60"/>
      <c r="M297" s="60"/>
      <c r="N297" s="60"/>
    </row>
    <row r="298" spans="6:14" ht="15.75" x14ac:dyDescent="0.25">
      <c r="F298" s="59"/>
      <c r="G298" s="60"/>
      <c r="H298" s="60"/>
      <c r="I298" s="60"/>
      <c r="J298" s="60"/>
      <c r="K298" s="60"/>
      <c r="L298" s="60"/>
      <c r="M298" s="60"/>
      <c r="N298" s="60"/>
    </row>
    <row r="299" spans="6:14" ht="15.75" x14ac:dyDescent="0.25">
      <c r="F299" s="59"/>
      <c r="G299" s="60"/>
      <c r="H299" s="60"/>
      <c r="I299" s="60"/>
      <c r="J299" s="60"/>
      <c r="K299" s="60"/>
      <c r="L299" s="60"/>
      <c r="M299" s="60"/>
      <c r="N299" s="60"/>
    </row>
    <row r="300" spans="6:14" ht="15.75" x14ac:dyDescent="0.25">
      <c r="F300" s="59"/>
      <c r="G300" s="60"/>
      <c r="H300" s="60"/>
      <c r="I300" s="60"/>
      <c r="J300" s="60"/>
      <c r="K300" s="60"/>
      <c r="L300" s="60"/>
      <c r="M300" s="60"/>
      <c r="N300" s="60"/>
    </row>
    <row r="301" spans="6:14" ht="15.75" x14ac:dyDescent="0.25">
      <c r="F301" s="59"/>
      <c r="G301" s="60"/>
      <c r="H301" s="60"/>
      <c r="I301" s="60"/>
      <c r="J301" s="60"/>
      <c r="K301" s="60"/>
      <c r="L301" s="60"/>
      <c r="M301" s="60"/>
      <c r="N301" s="60"/>
    </row>
    <row r="302" spans="6:14" ht="15.75" x14ac:dyDescent="0.25">
      <c r="F302" s="59"/>
      <c r="G302" s="60"/>
      <c r="H302" s="60"/>
      <c r="I302" s="60"/>
      <c r="J302" s="60"/>
      <c r="K302" s="60"/>
      <c r="L302" s="60"/>
      <c r="M302" s="60"/>
      <c r="N302" s="60"/>
    </row>
    <row r="303" spans="6:14" ht="15.75" x14ac:dyDescent="0.25">
      <c r="F303" s="59"/>
      <c r="G303" s="60"/>
      <c r="H303" s="60"/>
      <c r="I303" s="60"/>
      <c r="J303" s="60"/>
      <c r="K303" s="60"/>
      <c r="L303" s="60"/>
      <c r="M303" s="60"/>
      <c r="N303" s="60"/>
    </row>
    <row r="304" spans="6:14" ht="15.75" x14ac:dyDescent="0.25">
      <c r="F304" s="59"/>
      <c r="G304" s="60"/>
      <c r="H304" s="60"/>
      <c r="I304" s="60"/>
      <c r="J304" s="60"/>
      <c r="K304" s="60"/>
      <c r="L304" s="60"/>
      <c r="M304" s="60"/>
      <c r="N304" s="60"/>
    </row>
    <row r="305" spans="6:14" ht="15.75" x14ac:dyDescent="0.25">
      <c r="F305" s="59"/>
      <c r="G305" s="60"/>
      <c r="H305" s="60"/>
      <c r="I305" s="60"/>
      <c r="J305" s="60"/>
      <c r="K305" s="60"/>
      <c r="L305" s="60"/>
      <c r="M305" s="60"/>
      <c r="N305" s="60"/>
    </row>
    <row r="306" spans="6:14" ht="15.75" x14ac:dyDescent="0.25">
      <c r="F306" s="59"/>
      <c r="G306" s="60"/>
      <c r="H306" s="60"/>
      <c r="I306" s="60"/>
      <c r="J306" s="60"/>
      <c r="K306" s="60"/>
      <c r="L306" s="60"/>
      <c r="M306" s="60"/>
      <c r="N306" s="60"/>
    </row>
    <row r="307" spans="6:14" ht="15.75" x14ac:dyDescent="0.25">
      <c r="F307" s="59"/>
      <c r="G307" s="60"/>
      <c r="H307" s="60"/>
      <c r="I307" s="60"/>
      <c r="J307" s="60"/>
      <c r="K307" s="60"/>
      <c r="L307" s="60"/>
      <c r="M307" s="60"/>
      <c r="N307" s="60"/>
    </row>
    <row r="308" spans="6:14" ht="15.75" x14ac:dyDescent="0.25">
      <c r="F308" s="59"/>
      <c r="G308" s="60"/>
      <c r="H308" s="60"/>
      <c r="I308" s="60"/>
      <c r="J308" s="60"/>
      <c r="K308" s="60"/>
      <c r="L308" s="60"/>
      <c r="M308" s="60"/>
      <c r="N308" s="60"/>
    </row>
    <row r="309" spans="6:14" ht="15.75" x14ac:dyDescent="0.25">
      <c r="F309" s="59"/>
      <c r="G309" s="60"/>
      <c r="H309" s="60"/>
      <c r="I309" s="60"/>
      <c r="J309" s="60"/>
      <c r="K309" s="60"/>
      <c r="L309" s="60"/>
      <c r="M309" s="60"/>
      <c r="N309" s="60"/>
    </row>
    <row r="310" spans="6:14" ht="15.75" x14ac:dyDescent="0.25">
      <c r="F310" s="59"/>
      <c r="G310" s="60"/>
      <c r="H310" s="60"/>
      <c r="I310" s="60"/>
      <c r="J310" s="60"/>
      <c r="K310" s="60"/>
      <c r="L310" s="60"/>
      <c r="M310" s="60"/>
      <c r="N310" s="60"/>
    </row>
    <row r="311" spans="6:14" ht="15.75" x14ac:dyDescent="0.25">
      <c r="F311" s="59"/>
      <c r="G311" s="60"/>
      <c r="H311" s="60"/>
      <c r="I311" s="60"/>
      <c r="J311" s="60"/>
      <c r="K311" s="60"/>
      <c r="L311" s="60"/>
      <c r="M311" s="60"/>
      <c r="N311" s="60"/>
    </row>
    <row r="312" spans="6:14" ht="15.75" x14ac:dyDescent="0.25">
      <c r="F312" s="59"/>
      <c r="G312" s="60"/>
      <c r="H312" s="60"/>
      <c r="I312" s="60"/>
      <c r="J312" s="60"/>
      <c r="K312" s="60"/>
      <c r="L312" s="60"/>
      <c r="M312" s="60"/>
      <c r="N312" s="60"/>
    </row>
    <row r="313" spans="6:14" ht="15.75" x14ac:dyDescent="0.25">
      <c r="F313" s="59"/>
      <c r="G313" s="60"/>
      <c r="H313" s="60"/>
      <c r="I313" s="60"/>
      <c r="J313" s="60"/>
      <c r="K313" s="60"/>
      <c r="L313" s="60"/>
      <c r="M313" s="60"/>
      <c r="N313" s="60"/>
    </row>
    <row r="314" spans="6:14" ht="15.75" x14ac:dyDescent="0.25">
      <c r="F314" s="59"/>
      <c r="G314" s="60"/>
      <c r="H314" s="60"/>
      <c r="I314" s="60"/>
      <c r="J314" s="60"/>
      <c r="K314" s="60"/>
      <c r="L314" s="60"/>
      <c r="M314" s="60"/>
      <c r="N314" s="60"/>
    </row>
    <row r="315" spans="6:14" ht="15.75" x14ac:dyDescent="0.25">
      <c r="F315" s="59"/>
      <c r="G315" s="60"/>
      <c r="H315" s="60"/>
      <c r="I315" s="60"/>
      <c r="J315" s="60"/>
      <c r="K315" s="60"/>
      <c r="L315" s="60"/>
      <c r="M315" s="60"/>
      <c r="N315" s="60"/>
    </row>
    <row r="316" spans="6:14" ht="15.75" x14ac:dyDescent="0.25">
      <c r="F316" s="59"/>
      <c r="G316" s="60"/>
      <c r="H316" s="60"/>
      <c r="I316" s="60"/>
      <c r="J316" s="60"/>
      <c r="K316" s="60"/>
      <c r="L316" s="60"/>
      <c r="M316" s="60"/>
      <c r="N316" s="60"/>
    </row>
    <row r="317" spans="6:14" ht="15.75" x14ac:dyDescent="0.25">
      <c r="F317" s="59"/>
      <c r="G317" s="60"/>
      <c r="H317" s="60"/>
      <c r="I317" s="60"/>
      <c r="J317" s="60"/>
      <c r="K317" s="60"/>
      <c r="L317" s="60"/>
      <c r="M317" s="60"/>
      <c r="N317" s="60"/>
    </row>
    <row r="318" spans="6:14" ht="15.75" x14ac:dyDescent="0.25">
      <c r="F318" s="59"/>
      <c r="G318" s="60"/>
      <c r="H318" s="60"/>
      <c r="I318" s="60"/>
      <c r="J318" s="60"/>
      <c r="K318" s="60"/>
      <c r="L318" s="60"/>
      <c r="M318" s="60"/>
      <c r="N318" s="60"/>
    </row>
    <row r="319" spans="6:14" ht="15.75" x14ac:dyDescent="0.25">
      <c r="F319" s="59"/>
      <c r="G319" s="60"/>
      <c r="H319" s="60"/>
      <c r="I319" s="60"/>
      <c r="J319" s="60"/>
      <c r="K319" s="60"/>
      <c r="L319" s="60"/>
      <c r="M319" s="60"/>
      <c r="N319" s="60"/>
    </row>
    <row r="320" spans="6:14" ht="15.75" x14ac:dyDescent="0.25">
      <c r="F320" s="59"/>
      <c r="G320" s="60"/>
      <c r="H320" s="60"/>
      <c r="I320" s="60"/>
      <c r="J320" s="60"/>
      <c r="K320" s="60"/>
      <c r="L320" s="60"/>
      <c r="M320" s="60"/>
      <c r="N320" s="60"/>
    </row>
    <row r="321" spans="6:14" ht="15.75" x14ac:dyDescent="0.25">
      <c r="F321" s="59"/>
      <c r="G321" s="60"/>
      <c r="H321" s="60"/>
      <c r="I321" s="60"/>
      <c r="J321" s="60"/>
      <c r="K321" s="60"/>
      <c r="L321" s="60"/>
      <c r="M321" s="60"/>
      <c r="N321" s="60"/>
    </row>
    <row r="322" spans="6:14" ht="15.75" x14ac:dyDescent="0.25">
      <c r="F322" s="59"/>
      <c r="G322" s="60"/>
      <c r="H322" s="60"/>
      <c r="I322" s="60"/>
      <c r="J322" s="60"/>
      <c r="K322" s="60"/>
      <c r="L322" s="60"/>
      <c r="M322" s="60"/>
      <c r="N322" s="60"/>
    </row>
    <row r="323" spans="6:14" ht="15.75" x14ac:dyDescent="0.25">
      <c r="F323" s="59"/>
      <c r="G323" s="60"/>
      <c r="H323" s="60"/>
      <c r="I323" s="60"/>
      <c r="J323" s="60"/>
      <c r="K323" s="60"/>
      <c r="L323" s="60"/>
      <c r="M323" s="60"/>
      <c r="N323" s="60"/>
    </row>
    <row r="324" spans="6:14" ht="15.75" x14ac:dyDescent="0.25">
      <c r="F324" s="59"/>
      <c r="G324" s="60"/>
      <c r="H324" s="60"/>
      <c r="I324" s="60"/>
      <c r="J324" s="60"/>
      <c r="K324" s="60"/>
      <c r="L324" s="60"/>
      <c r="M324" s="60"/>
      <c r="N324" s="60"/>
    </row>
    <row r="325" spans="6:14" ht="15.75" x14ac:dyDescent="0.25">
      <c r="F325" s="59"/>
      <c r="G325" s="60"/>
      <c r="H325" s="60"/>
      <c r="I325" s="60"/>
      <c r="J325" s="60"/>
      <c r="K325" s="60"/>
      <c r="L325" s="60"/>
      <c r="M325" s="60"/>
      <c r="N325" s="60"/>
    </row>
    <row r="326" spans="6:14" ht="15.75" x14ac:dyDescent="0.25">
      <c r="F326" s="59"/>
      <c r="G326" s="60"/>
      <c r="H326" s="60"/>
      <c r="I326" s="60"/>
      <c r="J326" s="60"/>
      <c r="K326" s="60"/>
      <c r="L326" s="60"/>
      <c r="M326" s="60"/>
      <c r="N326" s="60"/>
    </row>
    <row r="327" spans="6:14" ht="15.75" x14ac:dyDescent="0.25">
      <c r="F327" s="59"/>
      <c r="G327" s="60"/>
      <c r="H327" s="60"/>
      <c r="I327" s="60"/>
      <c r="J327" s="60"/>
      <c r="K327" s="60"/>
      <c r="L327" s="60"/>
      <c r="M327" s="60"/>
      <c r="N327" s="60"/>
    </row>
    <row r="328" spans="6:14" ht="15.75" x14ac:dyDescent="0.25">
      <c r="F328" s="59"/>
      <c r="G328" s="60"/>
      <c r="H328" s="60"/>
      <c r="I328" s="60"/>
      <c r="J328" s="60"/>
      <c r="K328" s="60"/>
      <c r="L328" s="60"/>
      <c r="M328" s="60"/>
      <c r="N328" s="60"/>
    </row>
    <row r="329" spans="6:14" ht="15.75" x14ac:dyDescent="0.25">
      <c r="F329" s="59"/>
      <c r="G329" s="60"/>
      <c r="H329" s="60"/>
      <c r="I329" s="60"/>
      <c r="J329" s="60"/>
      <c r="K329" s="60"/>
      <c r="L329" s="60"/>
      <c r="M329" s="60"/>
      <c r="N329" s="60"/>
    </row>
    <row r="330" spans="6:14" ht="15.75" x14ac:dyDescent="0.25">
      <c r="F330" s="59"/>
      <c r="G330" s="60"/>
      <c r="H330" s="60"/>
      <c r="I330" s="60"/>
      <c r="J330" s="60"/>
      <c r="K330" s="60"/>
      <c r="L330" s="60"/>
      <c r="M330" s="60"/>
      <c r="N330" s="60"/>
    </row>
    <row r="331" spans="6:14" ht="15.75" x14ac:dyDescent="0.25">
      <c r="F331" s="59"/>
      <c r="G331" s="60"/>
      <c r="H331" s="60"/>
      <c r="I331" s="60"/>
      <c r="J331" s="60"/>
      <c r="K331" s="60"/>
      <c r="L331" s="60"/>
      <c r="M331" s="60"/>
      <c r="N331" s="60"/>
    </row>
    <row r="332" spans="6:14" ht="15.75" x14ac:dyDescent="0.25">
      <c r="F332" s="59"/>
      <c r="G332" s="60"/>
      <c r="H332" s="60"/>
      <c r="I332" s="60"/>
      <c r="J332" s="60"/>
      <c r="K332" s="60"/>
      <c r="L332" s="60"/>
      <c r="M332" s="60"/>
      <c r="N332" s="60"/>
    </row>
    <row r="333" spans="6:14" ht="15.75" x14ac:dyDescent="0.25">
      <c r="F333" s="59"/>
      <c r="G333" s="60"/>
      <c r="H333" s="60"/>
      <c r="I333" s="60"/>
      <c r="J333" s="60"/>
      <c r="K333" s="60"/>
      <c r="L333" s="60"/>
      <c r="M333" s="60"/>
      <c r="N333" s="60"/>
    </row>
    <row r="334" spans="6:14" ht="15.75" x14ac:dyDescent="0.25">
      <c r="F334" s="59"/>
      <c r="G334" s="60"/>
      <c r="H334" s="60"/>
      <c r="I334" s="60"/>
      <c r="J334" s="60"/>
      <c r="K334" s="60"/>
      <c r="L334" s="60"/>
      <c r="M334" s="60"/>
      <c r="N334" s="60"/>
    </row>
    <row r="335" spans="6:14" ht="15.75" x14ac:dyDescent="0.25">
      <c r="F335" s="59"/>
      <c r="G335" s="60"/>
      <c r="H335" s="60"/>
      <c r="I335" s="60"/>
      <c r="J335" s="60"/>
      <c r="K335" s="60"/>
      <c r="L335" s="60"/>
      <c r="M335" s="60"/>
      <c r="N335" s="60"/>
    </row>
    <row r="336" spans="6:14" ht="15.75" x14ac:dyDescent="0.25">
      <c r="F336" s="59"/>
      <c r="G336" s="60"/>
      <c r="H336" s="60"/>
      <c r="I336" s="60"/>
      <c r="J336" s="60"/>
      <c r="K336" s="60"/>
      <c r="L336" s="60"/>
      <c r="M336" s="60"/>
      <c r="N336" s="60"/>
    </row>
    <row r="337" spans="6:14" ht="15.75" x14ac:dyDescent="0.25">
      <c r="F337" s="59"/>
      <c r="G337" s="60"/>
      <c r="H337" s="60"/>
      <c r="I337" s="60"/>
      <c r="J337" s="60"/>
      <c r="K337" s="60"/>
      <c r="L337" s="60"/>
      <c r="M337" s="60"/>
      <c r="N337" s="60"/>
    </row>
    <row r="338" spans="6:14" ht="15.75" x14ac:dyDescent="0.25">
      <c r="F338" s="59"/>
      <c r="G338" s="60"/>
      <c r="H338" s="60"/>
      <c r="I338" s="60"/>
      <c r="J338" s="60"/>
      <c r="K338" s="60"/>
      <c r="L338" s="60"/>
      <c r="M338" s="60"/>
      <c r="N338" s="60"/>
    </row>
    <row r="339" spans="6:14" ht="15.75" x14ac:dyDescent="0.25">
      <c r="F339" s="59"/>
      <c r="G339" s="60"/>
      <c r="H339" s="60"/>
      <c r="I339" s="60"/>
      <c r="J339" s="60"/>
      <c r="K339" s="60"/>
      <c r="L339" s="60"/>
      <c r="M339" s="60"/>
      <c r="N339" s="60"/>
    </row>
    <row r="340" spans="6:14" ht="15.75" x14ac:dyDescent="0.25">
      <c r="F340" s="59"/>
      <c r="G340" s="60"/>
      <c r="H340" s="60"/>
      <c r="I340" s="60"/>
      <c r="J340" s="60"/>
      <c r="K340" s="60"/>
      <c r="L340" s="60"/>
      <c r="M340" s="60"/>
      <c r="N340" s="60"/>
    </row>
    <row r="341" spans="6:14" ht="15.75" x14ac:dyDescent="0.25">
      <c r="F341" s="59"/>
      <c r="G341" s="60"/>
      <c r="H341" s="60"/>
      <c r="I341" s="60"/>
      <c r="J341" s="60"/>
      <c r="K341" s="60"/>
      <c r="L341" s="60"/>
      <c r="M341" s="60"/>
      <c r="N341" s="60"/>
    </row>
    <row r="342" spans="6:14" ht="15.75" x14ac:dyDescent="0.25">
      <c r="F342" s="59"/>
      <c r="G342" s="60"/>
      <c r="H342" s="60"/>
      <c r="I342" s="60"/>
      <c r="J342" s="60"/>
      <c r="K342" s="60"/>
      <c r="L342" s="60"/>
      <c r="M342" s="60"/>
      <c r="N342" s="60"/>
    </row>
    <row r="343" spans="6:14" ht="15.75" x14ac:dyDescent="0.25">
      <c r="F343" s="59"/>
      <c r="G343" s="60"/>
      <c r="H343" s="60"/>
      <c r="I343" s="60"/>
      <c r="J343" s="60"/>
      <c r="K343" s="60"/>
      <c r="L343" s="60"/>
      <c r="M343" s="60"/>
      <c r="N343" s="60"/>
    </row>
    <row r="344" spans="6:14" ht="15.75" x14ac:dyDescent="0.25">
      <c r="F344" s="59"/>
      <c r="G344" s="60"/>
      <c r="H344" s="60"/>
      <c r="I344" s="60"/>
      <c r="J344" s="60"/>
      <c r="K344" s="60"/>
      <c r="L344" s="60"/>
      <c r="M344" s="60"/>
      <c r="N344" s="60"/>
    </row>
    <row r="345" spans="6:14" ht="15.75" x14ac:dyDescent="0.25">
      <c r="F345" s="59"/>
      <c r="G345" s="60"/>
      <c r="H345" s="60"/>
      <c r="I345" s="60"/>
      <c r="J345" s="60"/>
      <c r="K345" s="60"/>
      <c r="L345" s="60"/>
      <c r="M345" s="60"/>
      <c r="N345" s="60"/>
    </row>
    <row r="346" spans="6:14" ht="15.75" x14ac:dyDescent="0.25">
      <c r="F346" s="59"/>
      <c r="G346" s="60"/>
      <c r="H346" s="60"/>
      <c r="I346" s="60"/>
      <c r="J346" s="60"/>
      <c r="K346" s="60"/>
      <c r="L346" s="60"/>
      <c r="M346" s="60"/>
      <c r="N346" s="60"/>
    </row>
    <row r="347" spans="6:14" ht="15.75" x14ac:dyDescent="0.25">
      <c r="F347" s="59"/>
      <c r="G347" s="60"/>
      <c r="H347" s="60"/>
      <c r="I347" s="60"/>
      <c r="J347" s="60"/>
      <c r="K347" s="60"/>
      <c r="L347" s="60"/>
      <c r="M347" s="60"/>
      <c r="N347" s="60"/>
    </row>
    <row r="348" spans="6:14" ht="15.75" x14ac:dyDescent="0.25">
      <c r="F348" s="59"/>
      <c r="G348" s="60"/>
      <c r="H348" s="60"/>
      <c r="I348" s="60"/>
      <c r="J348" s="60"/>
      <c r="K348" s="60"/>
      <c r="L348" s="60"/>
      <c r="M348" s="60"/>
      <c r="N348" s="60"/>
    </row>
    <row r="349" spans="6:14" ht="15.75" x14ac:dyDescent="0.25">
      <c r="F349" s="59"/>
      <c r="G349" s="60"/>
      <c r="H349" s="60"/>
      <c r="I349" s="60"/>
      <c r="J349" s="60"/>
      <c r="K349" s="60"/>
      <c r="L349" s="60"/>
      <c r="M349" s="60"/>
      <c r="N349" s="60"/>
    </row>
    <row r="350" spans="6:14" ht="15.75" x14ac:dyDescent="0.25">
      <c r="F350" s="59"/>
      <c r="G350" s="60"/>
      <c r="H350" s="60"/>
      <c r="I350" s="60"/>
      <c r="J350" s="60"/>
      <c r="K350" s="60"/>
      <c r="L350" s="60"/>
      <c r="M350" s="60"/>
      <c r="N350" s="60"/>
    </row>
    <row r="351" spans="6:14" ht="15.75" x14ac:dyDescent="0.25">
      <c r="F351" s="59"/>
      <c r="G351" s="60"/>
      <c r="H351" s="60"/>
      <c r="I351" s="60"/>
      <c r="J351" s="60"/>
      <c r="K351" s="60"/>
      <c r="L351" s="60"/>
      <c r="M351" s="60"/>
      <c r="N351" s="60"/>
    </row>
    <row r="352" spans="6:14" ht="15.75" x14ac:dyDescent="0.25">
      <c r="F352" s="59"/>
      <c r="G352" s="60"/>
      <c r="H352" s="60"/>
      <c r="I352" s="60"/>
      <c r="J352" s="60"/>
      <c r="K352" s="60"/>
      <c r="L352" s="60"/>
      <c r="M352" s="60"/>
      <c r="N352" s="60"/>
    </row>
    <row r="353" spans="6:14" ht="15.75" x14ac:dyDescent="0.25">
      <c r="F353" s="59"/>
      <c r="G353" s="60"/>
      <c r="H353" s="60"/>
      <c r="I353" s="60"/>
      <c r="J353" s="60"/>
      <c r="K353" s="60"/>
      <c r="L353" s="60"/>
      <c r="M353" s="60"/>
      <c r="N353" s="60"/>
    </row>
    <row r="354" spans="6:14" ht="15.75" x14ac:dyDescent="0.25">
      <c r="F354" s="59"/>
      <c r="G354" s="60"/>
      <c r="H354" s="60"/>
      <c r="I354" s="60"/>
      <c r="J354" s="60"/>
      <c r="K354" s="60"/>
      <c r="L354" s="60"/>
      <c r="M354" s="60"/>
      <c r="N354" s="60"/>
    </row>
    <row r="355" spans="6:14" ht="15.75" x14ac:dyDescent="0.25">
      <c r="F355" s="59"/>
      <c r="G355" s="60"/>
      <c r="H355" s="60"/>
      <c r="I355" s="60"/>
      <c r="J355" s="60"/>
      <c r="K355" s="60"/>
      <c r="L355" s="60"/>
      <c r="M355" s="60"/>
      <c r="N355" s="60"/>
    </row>
    <row r="356" spans="6:14" ht="15.75" x14ac:dyDescent="0.25">
      <c r="F356" s="59"/>
      <c r="G356" s="60"/>
      <c r="H356" s="60"/>
      <c r="I356" s="60"/>
      <c r="J356" s="60"/>
      <c r="K356" s="60"/>
      <c r="L356" s="60"/>
      <c r="M356" s="60"/>
      <c r="N356" s="60"/>
    </row>
    <row r="357" spans="6:14" ht="15.75" x14ac:dyDescent="0.25">
      <c r="F357" s="59"/>
      <c r="G357" s="60"/>
      <c r="H357" s="60"/>
      <c r="I357" s="60"/>
      <c r="J357" s="60"/>
      <c r="K357" s="60"/>
      <c r="L357" s="60"/>
      <c r="M357" s="60"/>
      <c r="N357" s="60"/>
    </row>
    <row r="358" spans="6:14" ht="15.75" x14ac:dyDescent="0.25">
      <c r="F358" s="59"/>
      <c r="G358" s="60"/>
      <c r="H358" s="60"/>
      <c r="I358" s="60"/>
      <c r="J358" s="60"/>
      <c r="K358" s="60"/>
      <c r="L358" s="60"/>
      <c r="M358" s="60"/>
      <c r="N358" s="60"/>
    </row>
    <row r="359" spans="6:14" ht="15.75" x14ac:dyDescent="0.25">
      <c r="F359" s="59"/>
      <c r="G359" s="60"/>
      <c r="H359" s="60"/>
      <c r="I359" s="60"/>
      <c r="J359" s="60"/>
      <c r="K359" s="60"/>
      <c r="L359" s="60"/>
      <c r="M359" s="60"/>
      <c r="N359" s="60"/>
    </row>
    <row r="360" spans="6:14" ht="15.75" x14ac:dyDescent="0.25">
      <c r="F360" s="59"/>
      <c r="G360" s="60"/>
      <c r="H360" s="60"/>
      <c r="I360" s="60"/>
      <c r="J360" s="60"/>
      <c r="K360" s="60"/>
      <c r="L360" s="60"/>
      <c r="M360" s="60"/>
      <c r="N360" s="60"/>
    </row>
    <row r="361" spans="6:14" ht="15.75" x14ac:dyDescent="0.25">
      <c r="F361" s="59"/>
      <c r="G361" s="60"/>
      <c r="H361" s="60"/>
      <c r="I361" s="60"/>
      <c r="J361" s="60"/>
      <c r="K361" s="60"/>
      <c r="L361" s="60"/>
      <c r="M361" s="60"/>
      <c r="N361" s="60"/>
    </row>
    <row r="362" spans="6:14" ht="15.75" x14ac:dyDescent="0.25">
      <c r="F362" s="59"/>
      <c r="G362" s="60"/>
      <c r="H362" s="60"/>
      <c r="I362" s="60"/>
      <c r="J362" s="60"/>
      <c r="K362" s="60"/>
      <c r="L362" s="60"/>
      <c r="M362" s="60"/>
      <c r="N362" s="60"/>
    </row>
    <row r="363" spans="6:14" ht="15.75" x14ac:dyDescent="0.25">
      <c r="F363" s="59"/>
      <c r="G363" s="60"/>
      <c r="H363" s="60"/>
      <c r="I363" s="60"/>
      <c r="J363" s="60"/>
      <c r="K363" s="60"/>
      <c r="L363" s="60"/>
      <c r="M363" s="60"/>
      <c r="N363" s="60"/>
    </row>
    <row r="364" spans="6:14" ht="15.75" x14ac:dyDescent="0.25">
      <c r="F364" s="59"/>
      <c r="G364" s="60"/>
      <c r="H364" s="60"/>
      <c r="I364" s="60"/>
      <c r="J364" s="60"/>
      <c r="K364" s="60"/>
      <c r="L364" s="60"/>
      <c r="M364" s="60"/>
      <c r="N364" s="60"/>
    </row>
    <row r="365" spans="6:14" ht="15.75" x14ac:dyDescent="0.25">
      <c r="F365" s="59"/>
      <c r="G365" s="60"/>
      <c r="H365" s="60"/>
      <c r="I365" s="60"/>
      <c r="J365" s="60"/>
      <c r="K365" s="60"/>
      <c r="L365" s="60"/>
      <c r="M365" s="60"/>
      <c r="N365" s="60"/>
    </row>
    <row r="366" spans="6:14" ht="15.75" x14ac:dyDescent="0.25">
      <c r="F366" s="59"/>
      <c r="G366" s="60"/>
      <c r="H366" s="60"/>
      <c r="I366" s="60"/>
      <c r="J366" s="60"/>
      <c r="K366" s="60"/>
      <c r="L366" s="60"/>
      <c r="M366" s="60"/>
      <c r="N366" s="60"/>
    </row>
    <row r="367" spans="6:14" ht="15.75" x14ac:dyDescent="0.25">
      <c r="F367" s="59"/>
      <c r="G367" s="60"/>
      <c r="H367" s="60"/>
      <c r="I367" s="60"/>
      <c r="J367" s="60"/>
      <c r="K367" s="60"/>
      <c r="L367" s="60"/>
      <c r="M367" s="60"/>
      <c r="N367" s="60"/>
    </row>
    <row r="368" spans="6:14" ht="15.75" x14ac:dyDescent="0.25">
      <c r="F368" s="59"/>
      <c r="G368" s="60"/>
      <c r="H368" s="60"/>
      <c r="I368" s="60"/>
      <c r="J368" s="60"/>
      <c r="K368" s="60"/>
      <c r="L368" s="60"/>
      <c r="M368" s="60"/>
      <c r="N368" s="60"/>
    </row>
    <row r="369" spans="6:14" ht="15.75" x14ac:dyDescent="0.25">
      <c r="F369" s="59"/>
      <c r="G369" s="60"/>
      <c r="H369" s="60"/>
      <c r="I369" s="60"/>
      <c r="J369" s="60"/>
      <c r="K369" s="60"/>
      <c r="L369" s="60"/>
      <c r="M369" s="60"/>
      <c r="N369" s="60"/>
    </row>
    <row r="370" spans="6:14" ht="15.75" x14ac:dyDescent="0.25">
      <c r="F370" s="59"/>
      <c r="G370" s="60"/>
      <c r="H370" s="60"/>
      <c r="I370" s="60"/>
      <c r="J370" s="60"/>
      <c r="K370" s="60"/>
      <c r="L370" s="60"/>
      <c r="M370" s="60"/>
      <c r="N370" s="60"/>
    </row>
    <row r="371" spans="6:14" ht="15.75" x14ac:dyDescent="0.25">
      <c r="F371" s="59"/>
      <c r="G371" s="60"/>
      <c r="H371" s="60"/>
      <c r="I371" s="60"/>
      <c r="J371" s="60"/>
      <c r="K371" s="60"/>
      <c r="L371" s="60"/>
      <c r="M371" s="60"/>
      <c r="N371" s="60"/>
    </row>
    <row r="372" spans="6:14" ht="15.75" x14ac:dyDescent="0.25">
      <c r="F372" s="59"/>
      <c r="G372" s="60"/>
      <c r="H372" s="60"/>
      <c r="I372" s="60"/>
      <c r="J372" s="60"/>
      <c r="K372" s="60"/>
      <c r="L372" s="60"/>
      <c r="M372" s="60"/>
      <c r="N372" s="60"/>
    </row>
    <row r="373" spans="6:14" ht="15.75" x14ac:dyDescent="0.25">
      <c r="F373" s="59"/>
      <c r="G373" s="60"/>
      <c r="H373" s="60"/>
      <c r="I373" s="60"/>
      <c r="J373" s="60"/>
      <c r="K373" s="60"/>
      <c r="L373" s="60"/>
      <c r="M373" s="60"/>
      <c r="N373" s="60"/>
    </row>
    <row r="374" spans="6:14" ht="15.75" x14ac:dyDescent="0.25">
      <c r="F374" s="59"/>
      <c r="G374" s="60"/>
      <c r="H374" s="60"/>
      <c r="I374" s="60"/>
      <c r="J374" s="60"/>
      <c r="K374" s="60"/>
      <c r="L374" s="60"/>
      <c r="M374" s="60"/>
      <c r="N374" s="60"/>
    </row>
    <row r="375" spans="6:14" ht="15.75" x14ac:dyDescent="0.25">
      <c r="F375" s="59"/>
      <c r="G375" s="60"/>
      <c r="H375" s="60"/>
      <c r="I375" s="60"/>
      <c r="J375" s="60"/>
      <c r="K375" s="60"/>
      <c r="L375" s="60"/>
      <c r="M375" s="60"/>
      <c r="N375" s="60"/>
    </row>
    <row r="376" spans="6:14" ht="15.75" x14ac:dyDescent="0.25">
      <c r="F376" s="59"/>
      <c r="G376" s="60"/>
      <c r="H376" s="60"/>
      <c r="I376" s="60"/>
      <c r="J376" s="60"/>
      <c r="K376" s="60"/>
      <c r="L376" s="60"/>
      <c r="M376" s="60"/>
      <c r="N376" s="60"/>
    </row>
    <row r="377" spans="6:14" ht="15.75" x14ac:dyDescent="0.25">
      <c r="F377" s="59"/>
      <c r="G377" s="60"/>
      <c r="H377" s="60"/>
      <c r="I377" s="60"/>
      <c r="J377" s="60"/>
      <c r="K377" s="60"/>
      <c r="L377" s="60"/>
      <c r="M377" s="60"/>
      <c r="N377" s="60"/>
    </row>
    <row r="378" spans="6:14" ht="15.75" x14ac:dyDescent="0.25">
      <c r="F378" s="59"/>
      <c r="G378" s="60"/>
      <c r="H378" s="60"/>
      <c r="I378" s="60"/>
      <c r="J378" s="60"/>
      <c r="K378" s="60"/>
      <c r="L378" s="60"/>
      <c r="M378" s="60"/>
      <c r="N378" s="60"/>
    </row>
    <row r="379" spans="6:14" ht="15.75" x14ac:dyDescent="0.25">
      <c r="F379" s="59"/>
      <c r="G379" s="60"/>
      <c r="H379" s="60"/>
      <c r="I379" s="60"/>
      <c r="J379" s="60"/>
      <c r="K379" s="60"/>
      <c r="L379" s="60"/>
      <c r="M379" s="60"/>
      <c r="N379" s="60"/>
    </row>
    <row r="380" spans="6:14" ht="15.75" x14ac:dyDescent="0.25">
      <c r="F380" s="59"/>
      <c r="G380" s="60"/>
      <c r="H380" s="60"/>
      <c r="I380" s="60"/>
      <c r="J380" s="60"/>
      <c r="K380" s="60"/>
      <c r="L380" s="60"/>
      <c r="M380" s="60"/>
      <c r="N380" s="60"/>
    </row>
    <row r="381" spans="6:14" ht="15.75" x14ac:dyDescent="0.25">
      <c r="F381" s="59"/>
      <c r="G381" s="60"/>
      <c r="H381" s="60"/>
      <c r="I381" s="60"/>
      <c r="J381" s="60"/>
      <c r="K381" s="60"/>
      <c r="L381" s="60"/>
      <c r="M381" s="60"/>
      <c r="N381" s="60"/>
    </row>
    <row r="382" spans="6:14" ht="15.75" x14ac:dyDescent="0.25">
      <c r="F382" s="59"/>
      <c r="G382" s="60"/>
      <c r="H382" s="60"/>
      <c r="I382" s="60"/>
      <c r="J382" s="60"/>
      <c r="K382" s="60"/>
      <c r="L382" s="60"/>
      <c r="M382" s="60"/>
      <c r="N382" s="60"/>
    </row>
    <row r="383" spans="6:14" ht="15.75" x14ac:dyDescent="0.25">
      <c r="F383" s="59"/>
      <c r="G383" s="60"/>
      <c r="H383" s="60"/>
      <c r="I383" s="60"/>
      <c r="J383" s="60"/>
      <c r="K383" s="60"/>
      <c r="L383" s="60"/>
      <c r="M383" s="60"/>
      <c r="N383" s="60"/>
    </row>
    <row r="384" spans="6:14" ht="15.75" x14ac:dyDescent="0.25">
      <c r="F384" s="59"/>
      <c r="G384" s="60"/>
      <c r="H384" s="60"/>
      <c r="I384" s="60"/>
      <c r="J384" s="60"/>
      <c r="K384" s="60"/>
      <c r="L384" s="60"/>
      <c r="M384" s="60"/>
      <c r="N384" s="60"/>
    </row>
    <row r="385" spans="6:14" ht="15.75" x14ac:dyDescent="0.25">
      <c r="F385" s="59"/>
      <c r="G385" s="60"/>
      <c r="H385" s="60"/>
      <c r="I385" s="60"/>
      <c r="J385" s="60"/>
      <c r="K385" s="60"/>
      <c r="L385" s="60"/>
      <c r="M385" s="60"/>
      <c r="N385" s="60"/>
    </row>
    <row r="386" spans="6:14" ht="15.75" x14ac:dyDescent="0.25">
      <c r="F386" s="59"/>
      <c r="G386" s="60"/>
      <c r="H386" s="60"/>
      <c r="I386" s="60"/>
      <c r="J386" s="60"/>
      <c r="K386" s="60"/>
      <c r="L386" s="60"/>
      <c r="M386" s="60"/>
      <c r="N386" s="60"/>
    </row>
    <row r="387" spans="6:14" ht="15.75" x14ac:dyDescent="0.25">
      <c r="F387" s="59"/>
      <c r="G387" s="60"/>
      <c r="H387" s="60"/>
      <c r="I387" s="60"/>
      <c r="J387" s="60"/>
      <c r="K387" s="60"/>
      <c r="L387" s="60"/>
      <c r="M387" s="60"/>
      <c r="N387" s="60"/>
    </row>
    <row r="388" spans="6:14" ht="15.75" x14ac:dyDescent="0.25">
      <c r="F388" s="59"/>
      <c r="G388" s="60"/>
      <c r="H388" s="60"/>
      <c r="I388" s="60"/>
      <c r="J388" s="60"/>
      <c r="K388" s="60"/>
      <c r="L388" s="60"/>
      <c r="M388" s="60"/>
      <c r="N388" s="60"/>
    </row>
    <row r="389" spans="6:14" ht="15.75" x14ac:dyDescent="0.25">
      <c r="F389" s="59"/>
      <c r="G389" s="60"/>
      <c r="H389" s="60"/>
      <c r="I389" s="60"/>
      <c r="J389" s="60"/>
      <c r="K389" s="60"/>
      <c r="L389" s="60"/>
      <c r="M389" s="60"/>
      <c r="N389" s="60"/>
    </row>
    <row r="390" spans="6:14" ht="15.75" x14ac:dyDescent="0.25">
      <c r="F390" s="59"/>
      <c r="G390" s="60"/>
      <c r="H390" s="60"/>
      <c r="I390" s="60"/>
      <c r="J390" s="60"/>
      <c r="K390" s="60"/>
      <c r="L390" s="60"/>
      <c r="M390" s="60"/>
      <c r="N390" s="60"/>
    </row>
    <row r="391" spans="6:14" ht="15.75" x14ac:dyDescent="0.25">
      <c r="F391" s="59"/>
      <c r="G391" s="60"/>
      <c r="H391" s="60"/>
      <c r="I391" s="60"/>
      <c r="J391" s="60"/>
      <c r="K391" s="60"/>
      <c r="L391" s="60"/>
      <c r="M391" s="60"/>
      <c r="N391" s="60"/>
    </row>
    <row r="392" spans="6:14" ht="15.75" x14ac:dyDescent="0.25">
      <c r="F392" s="59"/>
      <c r="G392" s="60"/>
      <c r="H392" s="60"/>
      <c r="I392" s="60"/>
      <c r="J392" s="60"/>
      <c r="K392" s="60"/>
      <c r="L392" s="60"/>
      <c r="M392" s="60"/>
      <c r="N392" s="60"/>
    </row>
    <row r="393" spans="6:14" ht="15.75" x14ac:dyDescent="0.25">
      <c r="F393" s="59"/>
      <c r="G393" s="60"/>
      <c r="H393" s="60"/>
      <c r="I393" s="60"/>
      <c r="J393" s="60"/>
      <c r="K393" s="60"/>
      <c r="L393" s="60"/>
      <c r="M393" s="60"/>
      <c r="N393" s="60"/>
    </row>
    <row r="394" spans="6:14" ht="15.75" x14ac:dyDescent="0.25">
      <c r="F394" s="59"/>
      <c r="G394" s="60"/>
      <c r="H394" s="60"/>
      <c r="I394" s="60"/>
      <c r="J394" s="60"/>
      <c r="K394" s="60"/>
      <c r="L394" s="60"/>
      <c r="M394" s="60"/>
      <c r="N394" s="60"/>
    </row>
    <row r="395" spans="6:14" ht="15.75" x14ac:dyDescent="0.25">
      <c r="F395" s="59"/>
      <c r="G395" s="60"/>
      <c r="H395" s="60"/>
      <c r="I395" s="60"/>
      <c r="J395" s="60"/>
      <c r="K395" s="60"/>
      <c r="L395" s="60"/>
      <c r="M395" s="60"/>
      <c r="N395" s="60"/>
    </row>
    <row r="396" spans="6:14" ht="15.75" x14ac:dyDescent="0.25">
      <c r="F396" s="59"/>
      <c r="G396" s="60"/>
      <c r="H396" s="60"/>
      <c r="I396" s="60"/>
      <c r="J396" s="60"/>
      <c r="K396" s="60"/>
      <c r="L396" s="60"/>
      <c r="M396" s="60"/>
      <c r="N396" s="60"/>
    </row>
    <row r="397" spans="6:14" ht="15.75" x14ac:dyDescent="0.25">
      <c r="F397" s="59"/>
      <c r="G397" s="60"/>
      <c r="H397" s="60"/>
      <c r="I397" s="60"/>
      <c r="J397" s="60"/>
      <c r="K397" s="60"/>
      <c r="L397" s="60"/>
      <c r="M397" s="60"/>
      <c r="N397" s="60"/>
    </row>
    <row r="398" spans="6:14" ht="15.75" x14ac:dyDescent="0.25">
      <c r="F398" s="59"/>
      <c r="G398" s="60"/>
      <c r="H398" s="60"/>
      <c r="I398" s="60"/>
      <c r="J398" s="60"/>
      <c r="K398" s="60"/>
      <c r="L398" s="60"/>
      <c r="M398" s="60"/>
      <c r="N398" s="60"/>
    </row>
    <row r="399" spans="6:14" ht="15.75" x14ac:dyDescent="0.25">
      <c r="F399" s="59"/>
      <c r="G399" s="60"/>
      <c r="H399" s="60"/>
      <c r="I399" s="60"/>
      <c r="J399" s="60"/>
      <c r="K399" s="60"/>
      <c r="L399" s="60"/>
      <c r="M399" s="60"/>
      <c r="N399" s="60"/>
    </row>
    <row r="400" spans="6:14" ht="15.75" x14ac:dyDescent="0.25">
      <c r="F400" s="59"/>
      <c r="G400" s="60"/>
      <c r="H400" s="60"/>
      <c r="I400" s="60"/>
      <c r="J400" s="60"/>
      <c r="K400" s="60"/>
      <c r="L400" s="60"/>
      <c r="M400" s="60"/>
      <c r="N400" s="60"/>
    </row>
    <row r="401" spans="6:14" ht="15.75" x14ac:dyDescent="0.25">
      <c r="F401" s="59"/>
      <c r="G401" s="60"/>
      <c r="H401" s="60"/>
      <c r="I401" s="60"/>
      <c r="J401" s="60"/>
      <c r="K401" s="60"/>
      <c r="L401" s="60"/>
      <c r="M401" s="60"/>
      <c r="N401" s="60"/>
    </row>
    <row r="402" spans="6:14" ht="15.75" x14ac:dyDescent="0.25">
      <c r="F402" s="59"/>
      <c r="G402" s="60"/>
      <c r="H402" s="60"/>
      <c r="I402" s="60"/>
      <c r="J402" s="60"/>
      <c r="K402" s="60"/>
      <c r="L402" s="60"/>
      <c r="M402" s="60"/>
      <c r="N402" s="60"/>
    </row>
    <row r="403" spans="6:14" ht="15.75" x14ac:dyDescent="0.25">
      <c r="F403" s="59"/>
      <c r="G403" s="60"/>
      <c r="H403" s="60"/>
      <c r="I403" s="60"/>
      <c r="J403" s="60"/>
      <c r="K403" s="60"/>
      <c r="L403" s="60"/>
      <c r="M403" s="60"/>
      <c r="N403" s="60"/>
    </row>
    <row r="404" spans="6:14" ht="15.75" x14ac:dyDescent="0.25">
      <c r="F404" s="59"/>
      <c r="G404" s="60"/>
      <c r="H404" s="60"/>
      <c r="I404" s="60"/>
      <c r="J404" s="60"/>
      <c r="K404" s="60"/>
      <c r="L404" s="60"/>
      <c r="M404" s="60"/>
      <c r="N404" s="60"/>
    </row>
    <row r="405" spans="6:14" ht="15.75" x14ac:dyDescent="0.25">
      <c r="F405" s="59"/>
      <c r="G405" s="60"/>
      <c r="H405" s="60"/>
      <c r="I405" s="60"/>
      <c r="J405" s="60"/>
      <c r="K405" s="60"/>
      <c r="L405" s="60"/>
      <c r="M405" s="60"/>
      <c r="N405" s="60"/>
    </row>
    <row r="406" spans="6:14" ht="15.75" x14ac:dyDescent="0.25">
      <c r="F406" s="59"/>
      <c r="G406" s="60"/>
      <c r="H406" s="60"/>
      <c r="I406" s="60"/>
      <c r="J406" s="60"/>
      <c r="K406" s="60"/>
      <c r="L406" s="60"/>
      <c r="M406" s="60"/>
      <c r="N406" s="60"/>
    </row>
    <row r="407" spans="6:14" ht="15.75" x14ac:dyDescent="0.25">
      <c r="F407" s="59"/>
      <c r="G407" s="60"/>
      <c r="H407" s="60"/>
      <c r="I407" s="60"/>
      <c r="J407" s="60"/>
      <c r="K407" s="60"/>
      <c r="L407" s="60"/>
      <c r="M407" s="60"/>
      <c r="N407" s="60"/>
    </row>
    <row r="408" spans="6:14" ht="15.75" x14ac:dyDescent="0.25">
      <c r="F408" s="59"/>
      <c r="G408" s="60"/>
      <c r="H408" s="60"/>
      <c r="I408" s="60"/>
      <c r="J408" s="60"/>
      <c r="K408" s="60"/>
      <c r="L408" s="60"/>
      <c r="M408" s="60"/>
      <c r="N408" s="60"/>
    </row>
    <row r="409" spans="6:14" ht="15.75" x14ac:dyDescent="0.25">
      <c r="F409" s="59"/>
      <c r="G409" s="60"/>
      <c r="H409" s="60"/>
      <c r="I409" s="60"/>
      <c r="J409" s="60"/>
      <c r="K409" s="60"/>
      <c r="L409" s="60"/>
      <c r="M409" s="60"/>
      <c r="N409" s="60"/>
    </row>
    <row r="410" spans="6:14" ht="15.75" x14ac:dyDescent="0.25">
      <c r="F410" s="59"/>
      <c r="G410" s="60"/>
      <c r="H410" s="60"/>
      <c r="I410" s="60"/>
      <c r="J410" s="60"/>
      <c r="K410" s="60"/>
      <c r="L410" s="60"/>
      <c r="M410" s="60"/>
      <c r="N410" s="60"/>
    </row>
    <row r="411" spans="6:14" ht="15.75" x14ac:dyDescent="0.25">
      <c r="F411" s="59"/>
      <c r="G411" s="60"/>
      <c r="H411" s="60"/>
      <c r="I411" s="60"/>
      <c r="J411" s="60"/>
      <c r="K411" s="60"/>
      <c r="L411" s="60"/>
      <c r="M411" s="60"/>
      <c r="N411" s="60"/>
    </row>
    <row r="412" spans="6:14" ht="15.75" x14ac:dyDescent="0.25">
      <c r="F412" s="59"/>
      <c r="G412" s="60"/>
      <c r="H412" s="60"/>
      <c r="I412" s="60"/>
      <c r="J412" s="60"/>
      <c r="K412" s="60"/>
      <c r="L412" s="60"/>
      <c r="M412" s="60"/>
      <c r="N412" s="60"/>
    </row>
    <row r="413" spans="6:14" ht="15.75" x14ac:dyDescent="0.25">
      <c r="F413" s="59"/>
      <c r="G413" s="60"/>
      <c r="H413" s="60"/>
      <c r="I413" s="60"/>
      <c r="J413" s="60"/>
      <c r="K413" s="60"/>
      <c r="L413" s="60"/>
      <c r="M413" s="60"/>
      <c r="N413" s="60"/>
    </row>
    <row r="414" spans="6:14" ht="15.75" x14ac:dyDescent="0.25">
      <c r="F414" s="59"/>
      <c r="G414" s="60"/>
      <c r="H414" s="60"/>
      <c r="I414" s="60"/>
      <c r="J414" s="60"/>
      <c r="K414" s="60"/>
      <c r="L414" s="60"/>
      <c r="M414" s="60"/>
      <c r="N414" s="60"/>
    </row>
    <row r="415" spans="6:14" ht="15.75" x14ac:dyDescent="0.25">
      <c r="F415" s="59"/>
      <c r="G415" s="60"/>
      <c r="H415" s="60"/>
      <c r="I415" s="60"/>
      <c r="J415" s="60"/>
      <c r="K415" s="60"/>
      <c r="L415" s="60"/>
      <c r="M415" s="60"/>
      <c r="N415" s="60"/>
    </row>
    <row r="416" spans="6:14" ht="15.75" x14ac:dyDescent="0.25">
      <c r="F416" s="59"/>
      <c r="G416" s="60"/>
      <c r="H416" s="60"/>
      <c r="I416" s="60"/>
      <c r="J416" s="60"/>
      <c r="K416" s="60"/>
      <c r="L416" s="60"/>
      <c r="M416" s="60"/>
      <c r="N416" s="60"/>
    </row>
    <row r="417" spans="6:14" ht="15.75" x14ac:dyDescent="0.25">
      <c r="F417" s="59"/>
      <c r="G417" s="60"/>
      <c r="H417" s="60"/>
      <c r="I417" s="60"/>
      <c r="J417" s="60"/>
      <c r="K417" s="60"/>
      <c r="L417" s="60"/>
      <c r="M417" s="60"/>
      <c r="N417" s="60"/>
    </row>
    <row r="418" spans="6:14" ht="15.75" x14ac:dyDescent="0.25">
      <c r="F418" s="59"/>
      <c r="G418" s="60"/>
      <c r="H418" s="60"/>
      <c r="I418" s="60"/>
      <c r="J418" s="60"/>
      <c r="K418" s="60"/>
      <c r="L418" s="60"/>
      <c r="M418" s="60"/>
      <c r="N418" s="60"/>
    </row>
    <row r="419" spans="6:14" ht="15.75" x14ac:dyDescent="0.25">
      <c r="F419" s="59"/>
      <c r="G419" s="60"/>
      <c r="H419" s="60"/>
      <c r="I419" s="60"/>
      <c r="J419" s="60"/>
      <c r="K419" s="60"/>
      <c r="L419" s="60"/>
      <c r="M419" s="60"/>
      <c r="N419" s="60"/>
    </row>
    <row r="420" spans="6:14" ht="15.75" x14ac:dyDescent="0.25">
      <c r="F420" s="59"/>
      <c r="G420" s="60"/>
      <c r="H420" s="60"/>
      <c r="I420" s="60"/>
      <c r="J420" s="60"/>
      <c r="K420" s="60"/>
      <c r="L420" s="60"/>
      <c r="M420" s="60"/>
      <c r="N420" s="60"/>
    </row>
    <row r="421" spans="6:14" ht="15.75" x14ac:dyDescent="0.25">
      <c r="F421" s="59"/>
      <c r="G421" s="60"/>
      <c r="H421" s="60"/>
      <c r="I421" s="60"/>
      <c r="J421" s="60"/>
      <c r="K421" s="60"/>
      <c r="L421" s="60"/>
      <c r="M421" s="60"/>
      <c r="N421" s="60"/>
    </row>
    <row r="422" spans="6:14" ht="15.75" x14ac:dyDescent="0.25">
      <c r="F422" s="59"/>
      <c r="G422" s="60"/>
      <c r="H422" s="60"/>
      <c r="I422" s="60"/>
      <c r="J422" s="60"/>
      <c r="K422" s="60"/>
      <c r="L422" s="60"/>
      <c r="M422" s="60"/>
      <c r="N422" s="60"/>
    </row>
    <row r="423" spans="6:14" ht="15.75" x14ac:dyDescent="0.25">
      <c r="F423" s="59"/>
      <c r="G423" s="60"/>
      <c r="H423" s="60"/>
      <c r="I423" s="60"/>
      <c r="J423" s="60"/>
      <c r="K423" s="60"/>
      <c r="L423" s="60"/>
      <c r="M423" s="60"/>
      <c r="N423" s="60"/>
    </row>
    <row r="424" spans="6:14" ht="15.75" x14ac:dyDescent="0.25">
      <c r="F424" s="59"/>
      <c r="G424" s="60"/>
      <c r="H424" s="60"/>
      <c r="I424" s="60"/>
      <c r="J424" s="60"/>
      <c r="K424" s="60"/>
      <c r="L424" s="60"/>
      <c r="M424" s="60"/>
      <c r="N424" s="60"/>
    </row>
    <row r="425" spans="6:14" ht="15.75" x14ac:dyDescent="0.25">
      <c r="F425" s="59"/>
      <c r="G425" s="60"/>
      <c r="H425" s="60"/>
      <c r="I425" s="60"/>
      <c r="J425" s="60"/>
      <c r="K425" s="60"/>
      <c r="L425" s="60"/>
      <c r="M425" s="60"/>
      <c r="N425" s="60"/>
    </row>
    <row r="426" spans="6:14" ht="15.75" x14ac:dyDescent="0.25">
      <c r="F426" s="59"/>
      <c r="G426" s="60"/>
      <c r="H426" s="60"/>
      <c r="I426" s="60"/>
      <c r="J426" s="60"/>
      <c r="K426" s="60"/>
      <c r="L426" s="60"/>
      <c r="M426" s="60"/>
      <c r="N426" s="60"/>
    </row>
    <row r="427" spans="6:14" ht="15.75" x14ac:dyDescent="0.25">
      <c r="F427" s="59"/>
      <c r="G427" s="60"/>
      <c r="H427" s="60"/>
      <c r="I427" s="60"/>
      <c r="J427" s="60"/>
      <c r="K427" s="60"/>
      <c r="L427" s="60"/>
      <c r="M427" s="60"/>
      <c r="N427" s="60"/>
    </row>
    <row r="428" spans="6:14" ht="15.75" x14ac:dyDescent="0.25">
      <c r="F428" s="59"/>
      <c r="G428" s="60"/>
      <c r="H428" s="60"/>
      <c r="I428" s="60"/>
      <c r="J428" s="60"/>
      <c r="K428" s="60"/>
      <c r="L428" s="60"/>
      <c r="M428" s="60"/>
      <c r="N428" s="60"/>
    </row>
    <row r="429" spans="6:14" ht="15.75" x14ac:dyDescent="0.25">
      <c r="F429" s="59"/>
      <c r="G429" s="60"/>
      <c r="H429" s="60"/>
      <c r="I429" s="60"/>
      <c r="J429" s="60"/>
      <c r="K429" s="60"/>
      <c r="L429" s="60"/>
      <c r="M429" s="60"/>
      <c r="N429" s="60"/>
    </row>
    <row r="430" spans="6:14" ht="15.75" x14ac:dyDescent="0.25">
      <c r="F430" s="59"/>
      <c r="G430" s="60"/>
      <c r="H430" s="60"/>
      <c r="I430" s="60"/>
      <c r="J430" s="60"/>
      <c r="K430" s="60"/>
      <c r="L430" s="60"/>
      <c r="M430" s="60"/>
      <c r="N430" s="60"/>
    </row>
    <row r="431" spans="6:14" ht="15.75" x14ac:dyDescent="0.25">
      <c r="F431" s="59"/>
      <c r="G431" s="60"/>
      <c r="H431" s="60"/>
      <c r="I431" s="60"/>
      <c r="J431" s="60"/>
      <c r="K431" s="60"/>
      <c r="L431" s="60"/>
      <c r="M431" s="60"/>
      <c r="N431" s="60"/>
    </row>
    <row r="432" spans="6:14" ht="15.75" x14ac:dyDescent="0.25">
      <c r="F432" s="59"/>
      <c r="G432" s="60"/>
      <c r="H432" s="60"/>
      <c r="I432" s="60"/>
      <c r="J432" s="60"/>
      <c r="K432" s="60"/>
      <c r="L432" s="60"/>
      <c r="M432" s="60"/>
      <c r="N432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syncVertical="1" syncRef="A1" transitionEvaluation="1"/>
  <dimension ref="A1:Q61"/>
  <sheetViews>
    <sheetView showGridLines="0" topLeftCell="D1" workbookViewId="0">
      <selection activeCell="H19" sqref="H19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22.85546875" style="1" bestFit="1" customWidth="1"/>
    <col min="11" max="11" width="21.140625" style="1" bestFit="1" customWidth="1"/>
    <col min="12" max="12" width="15" style="1" customWidth="1"/>
    <col min="13" max="13" width="14.5703125" style="1" customWidth="1"/>
    <col min="14" max="15" width="14.28515625" style="1" customWidth="1"/>
    <col min="16" max="17" width="14.140625" style="1" customWidth="1"/>
    <col min="18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22.85546875" style="1" bestFit="1" customWidth="1"/>
    <col min="267" max="267" width="21.140625" style="1" bestFit="1" customWidth="1"/>
    <col min="268" max="268" width="15" style="1" customWidth="1"/>
    <col min="269" max="269" width="14.5703125" style="1" customWidth="1"/>
    <col min="270" max="271" width="14.28515625" style="1" customWidth="1"/>
    <col min="272" max="273" width="14.140625" style="1" customWidth="1"/>
    <col min="274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22.85546875" style="1" bestFit="1" customWidth="1"/>
    <col min="523" max="523" width="21.140625" style="1" bestFit="1" customWidth="1"/>
    <col min="524" max="524" width="15" style="1" customWidth="1"/>
    <col min="525" max="525" width="14.5703125" style="1" customWidth="1"/>
    <col min="526" max="527" width="14.28515625" style="1" customWidth="1"/>
    <col min="528" max="529" width="14.140625" style="1" customWidth="1"/>
    <col min="530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22.85546875" style="1" bestFit="1" customWidth="1"/>
    <col min="779" max="779" width="21.140625" style="1" bestFit="1" customWidth="1"/>
    <col min="780" max="780" width="15" style="1" customWidth="1"/>
    <col min="781" max="781" width="14.5703125" style="1" customWidth="1"/>
    <col min="782" max="783" width="14.28515625" style="1" customWidth="1"/>
    <col min="784" max="785" width="14.140625" style="1" customWidth="1"/>
    <col min="786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22.85546875" style="1" bestFit="1" customWidth="1"/>
    <col min="1035" max="1035" width="21.140625" style="1" bestFit="1" customWidth="1"/>
    <col min="1036" max="1036" width="15" style="1" customWidth="1"/>
    <col min="1037" max="1037" width="14.5703125" style="1" customWidth="1"/>
    <col min="1038" max="1039" width="14.28515625" style="1" customWidth="1"/>
    <col min="1040" max="1041" width="14.140625" style="1" customWidth="1"/>
    <col min="1042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22.85546875" style="1" bestFit="1" customWidth="1"/>
    <col min="1291" max="1291" width="21.140625" style="1" bestFit="1" customWidth="1"/>
    <col min="1292" max="1292" width="15" style="1" customWidth="1"/>
    <col min="1293" max="1293" width="14.5703125" style="1" customWidth="1"/>
    <col min="1294" max="1295" width="14.28515625" style="1" customWidth="1"/>
    <col min="1296" max="1297" width="14.140625" style="1" customWidth="1"/>
    <col min="1298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22.85546875" style="1" bestFit="1" customWidth="1"/>
    <col min="1547" max="1547" width="21.140625" style="1" bestFit="1" customWidth="1"/>
    <col min="1548" max="1548" width="15" style="1" customWidth="1"/>
    <col min="1549" max="1549" width="14.5703125" style="1" customWidth="1"/>
    <col min="1550" max="1551" width="14.28515625" style="1" customWidth="1"/>
    <col min="1552" max="1553" width="14.140625" style="1" customWidth="1"/>
    <col min="1554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22.85546875" style="1" bestFit="1" customWidth="1"/>
    <col min="1803" max="1803" width="21.140625" style="1" bestFit="1" customWidth="1"/>
    <col min="1804" max="1804" width="15" style="1" customWidth="1"/>
    <col min="1805" max="1805" width="14.5703125" style="1" customWidth="1"/>
    <col min="1806" max="1807" width="14.28515625" style="1" customWidth="1"/>
    <col min="1808" max="1809" width="14.140625" style="1" customWidth="1"/>
    <col min="1810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22.85546875" style="1" bestFit="1" customWidth="1"/>
    <col min="2059" max="2059" width="21.140625" style="1" bestFit="1" customWidth="1"/>
    <col min="2060" max="2060" width="15" style="1" customWidth="1"/>
    <col min="2061" max="2061" width="14.5703125" style="1" customWidth="1"/>
    <col min="2062" max="2063" width="14.28515625" style="1" customWidth="1"/>
    <col min="2064" max="2065" width="14.140625" style="1" customWidth="1"/>
    <col min="2066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22.85546875" style="1" bestFit="1" customWidth="1"/>
    <col min="2315" max="2315" width="21.140625" style="1" bestFit="1" customWidth="1"/>
    <col min="2316" max="2316" width="15" style="1" customWidth="1"/>
    <col min="2317" max="2317" width="14.5703125" style="1" customWidth="1"/>
    <col min="2318" max="2319" width="14.28515625" style="1" customWidth="1"/>
    <col min="2320" max="2321" width="14.140625" style="1" customWidth="1"/>
    <col min="2322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22.85546875" style="1" bestFit="1" customWidth="1"/>
    <col min="2571" max="2571" width="21.140625" style="1" bestFit="1" customWidth="1"/>
    <col min="2572" max="2572" width="15" style="1" customWidth="1"/>
    <col min="2573" max="2573" width="14.5703125" style="1" customWidth="1"/>
    <col min="2574" max="2575" width="14.28515625" style="1" customWidth="1"/>
    <col min="2576" max="2577" width="14.140625" style="1" customWidth="1"/>
    <col min="2578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22.85546875" style="1" bestFit="1" customWidth="1"/>
    <col min="2827" max="2827" width="21.140625" style="1" bestFit="1" customWidth="1"/>
    <col min="2828" max="2828" width="15" style="1" customWidth="1"/>
    <col min="2829" max="2829" width="14.5703125" style="1" customWidth="1"/>
    <col min="2830" max="2831" width="14.28515625" style="1" customWidth="1"/>
    <col min="2832" max="2833" width="14.140625" style="1" customWidth="1"/>
    <col min="2834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22.85546875" style="1" bestFit="1" customWidth="1"/>
    <col min="3083" max="3083" width="21.140625" style="1" bestFit="1" customWidth="1"/>
    <col min="3084" max="3084" width="15" style="1" customWidth="1"/>
    <col min="3085" max="3085" width="14.5703125" style="1" customWidth="1"/>
    <col min="3086" max="3087" width="14.28515625" style="1" customWidth="1"/>
    <col min="3088" max="3089" width="14.140625" style="1" customWidth="1"/>
    <col min="3090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22.85546875" style="1" bestFit="1" customWidth="1"/>
    <col min="3339" max="3339" width="21.140625" style="1" bestFit="1" customWidth="1"/>
    <col min="3340" max="3340" width="15" style="1" customWidth="1"/>
    <col min="3341" max="3341" width="14.5703125" style="1" customWidth="1"/>
    <col min="3342" max="3343" width="14.28515625" style="1" customWidth="1"/>
    <col min="3344" max="3345" width="14.140625" style="1" customWidth="1"/>
    <col min="3346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22.85546875" style="1" bestFit="1" customWidth="1"/>
    <col min="3595" max="3595" width="21.140625" style="1" bestFit="1" customWidth="1"/>
    <col min="3596" max="3596" width="15" style="1" customWidth="1"/>
    <col min="3597" max="3597" width="14.5703125" style="1" customWidth="1"/>
    <col min="3598" max="3599" width="14.28515625" style="1" customWidth="1"/>
    <col min="3600" max="3601" width="14.140625" style="1" customWidth="1"/>
    <col min="3602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22.85546875" style="1" bestFit="1" customWidth="1"/>
    <col min="3851" max="3851" width="21.140625" style="1" bestFit="1" customWidth="1"/>
    <col min="3852" max="3852" width="15" style="1" customWidth="1"/>
    <col min="3853" max="3853" width="14.5703125" style="1" customWidth="1"/>
    <col min="3854" max="3855" width="14.28515625" style="1" customWidth="1"/>
    <col min="3856" max="3857" width="14.140625" style="1" customWidth="1"/>
    <col min="3858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22.85546875" style="1" bestFit="1" customWidth="1"/>
    <col min="4107" max="4107" width="21.140625" style="1" bestFit="1" customWidth="1"/>
    <col min="4108" max="4108" width="15" style="1" customWidth="1"/>
    <col min="4109" max="4109" width="14.5703125" style="1" customWidth="1"/>
    <col min="4110" max="4111" width="14.28515625" style="1" customWidth="1"/>
    <col min="4112" max="4113" width="14.140625" style="1" customWidth="1"/>
    <col min="4114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22.85546875" style="1" bestFit="1" customWidth="1"/>
    <col min="4363" max="4363" width="21.140625" style="1" bestFit="1" customWidth="1"/>
    <col min="4364" max="4364" width="15" style="1" customWidth="1"/>
    <col min="4365" max="4365" width="14.5703125" style="1" customWidth="1"/>
    <col min="4366" max="4367" width="14.28515625" style="1" customWidth="1"/>
    <col min="4368" max="4369" width="14.140625" style="1" customWidth="1"/>
    <col min="4370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22.85546875" style="1" bestFit="1" customWidth="1"/>
    <col min="4619" max="4619" width="21.140625" style="1" bestFit="1" customWidth="1"/>
    <col min="4620" max="4620" width="15" style="1" customWidth="1"/>
    <col min="4621" max="4621" width="14.5703125" style="1" customWidth="1"/>
    <col min="4622" max="4623" width="14.28515625" style="1" customWidth="1"/>
    <col min="4624" max="4625" width="14.140625" style="1" customWidth="1"/>
    <col min="4626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22.85546875" style="1" bestFit="1" customWidth="1"/>
    <col min="4875" max="4875" width="21.140625" style="1" bestFit="1" customWidth="1"/>
    <col min="4876" max="4876" width="15" style="1" customWidth="1"/>
    <col min="4877" max="4877" width="14.5703125" style="1" customWidth="1"/>
    <col min="4878" max="4879" width="14.28515625" style="1" customWidth="1"/>
    <col min="4880" max="4881" width="14.140625" style="1" customWidth="1"/>
    <col min="4882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22.85546875" style="1" bestFit="1" customWidth="1"/>
    <col min="5131" max="5131" width="21.140625" style="1" bestFit="1" customWidth="1"/>
    <col min="5132" max="5132" width="15" style="1" customWidth="1"/>
    <col min="5133" max="5133" width="14.5703125" style="1" customWidth="1"/>
    <col min="5134" max="5135" width="14.28515625" style="1" customWidth="1"/>
    <col min="5136" max="5137" width="14.140625" style="1" customWidth="1"/>
    <col min="5138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22.85546875" style="1" bestFit="1" customWidth="1"/>
    <col min="5387" max="5387" width="21.140625" style="1" bestFit="1" customWidth="1"/>
    <col min="5388" max="5388" width="15" style="1" customWidth="1"/>
    <col min="5389" max="5389" width="14.5703125" style="1" customWidth="1"/>
    <col min="5390" max="5391" width="14.28515625" style="1" customWidth="1"/>
    <col min="5392" max="5393" width="14.140625" style="1" customWidth="1"/>
    <col min="5394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22.85546875" style="1" bestFit="1" customWidth="1"/>
    <col min="5643" max="5643" width="21.140625" style="1" bestFit="1" customWidth="1"/>
    <col min="5644" max="5644" width="15" style="1" customWidth="1"/>
    <col min="5645" max="5645" width="14.5703125" style="1" customWidth="1"/>
    <col min="5646" max="5647" width="14.28515625" style="1" customWidth="1"/>
    <col min="5648" max="5649" width="14.140625" style="1" customWidth="1"/>
    <col min="5650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22.85546875" style="1" bestFit="1" customWidth="1"/>
    <col min="5899" max="5899" width="21.140625" style="1" bestFit="1" customWidth="1"/>
    <col min="5900" max="5900" width="15" style="1" customWidth="1"/>
    <col min="5901" max="5901" width="14.5703125" style="1" customWidth="1"/>
    <col min="5902" max="5903" width="14.28515625" style="1" customWidth="1"/>
    <col min="5904" max="5905" width="14.140625" style="1" customWidth="1"/>
    <col min="5906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22.85546875" style="1" bestFit="1" customWidth="1"/>
    <col min="6155" max="6155" width="21.140625" style="1" bestFit="1" customWidth="1"/>
    <col min="6156" max="6156" width="15" style="1" customWidth="1"/>
    <col min="6157" max="6157" width="14.5703125" style="1" customWidth="1"/>
    <col min="6158" max="6159" width="14.28515625" style="1" customWidth="1"/>
    <col min="6160" max="6161" width="14.140625" style="1" customWidth="1"/>
    <col min="6162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22.85546875" style="1" bestFit="1" customWidth="1"/>
    <col min="6411" max="6411" width="21.140625" style="1" bestFit="1" customWidth="1"/>
    <col min="6412" max="6412" width="15" style="1" customWidth="1"/>
    <col min="6413" max="6413" width="14.5703125" style="1" customWidth="1"/>
    <col min="6414" max="6415" width="14.28515625" style="1" customWidth="1"/>
    <col min="6416" max="6417" width="14.140625" style="1" customWidth="1"/>
    <col min="6418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22.85546875" style="1" bestFit="1" customWidth="1"/>
    <col min="6667" max="6667" width="21.140625" style="1" bestFit="1" customWidth="1"/>
    <col min="6668" max="6668" width="15" style="1" customWidth="1"/>
    <col min="6669" max="6669" width="14.5703125" style="1" customWidth="1"/>
    <col min="6670" max="6671" width="14.28515625" style="1" customWidth="1"/>
    <col min="6672" max="6673" width="14.140625" style="1" customWidth="1"/>
    <col min="6674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22.85546875" style="1" bestFit="1" customWidth="1"/>
    <col min="6923" max="6923" width="21.140625" style="1" bestFit="1" customWidth="1"/>
    <col min="6924" max="6924" width="15" style="1" customWidth="1"/>
    <col min="6925" max="6925" width="14.5703125" style="1" customWidth="1"/>
    <col min="6926" max="6927" width="14.28515625" style="1" customWidth="1"/>
    <col min="6928" max="6929" width="14.140625" style="1" customWidth="1"/>
    <col min="6930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22.85546875" style="1" bestFit="1" customWidth="1"/>
    <col min="7179" max="7179" width="21.140625" style="1" bestFit="1" customWidth="1"/>
    <col min="7180" max="7180" width="15" style="1" customWidth="1"/>
    <col min="7181" max="7181" width="14.5703125" style="1" customWidth="1"/>
    <col min="7182" max="7183" width="14.28515625" style="1" customWidth="1"/>
    <col min="7184" max="7185" width="14.140625" style="1" customWidth="1"/>
    <col min="7186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22.85546875" style="1" bestFit="1" customWidth="1"/>
    <col min="7435" max="7435" width="21.140625" style="1" bestFit="1" customWidth="1"/>
    <col min="7436" max="7436" width="15" style="1" customWidth="1"/>
    <col min="7437" max="7437" width="14.5703125" style="1" customWidth="1"/>
    <col min="7438" max="7439" width="14.28515625" style="1" customWidth="1"/>
    <col min="7440" max="7441" width="14.140625" style="1" customWidth="1"/>
    <col min="7442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22.85546875" style="1" bestFit="1" customWidth="1"/>
    <col min="7691" max="7691" width="21.140625" style="1" bestFit="1" customWidth="1"/>
    <col min="7692" max="7692" width="15" style="1" customWidth="1"/>
    <col min="7693" max="7693" width="14.5703125" style="1" customWidth="1"/>
    <col min="7694" max="7695" width="14.28515625" style="1" customWidth="1"/>
    <col min="7696" max="7697" width="14.140625" style="1" customWidth="1"/>
    <col min="7698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22.85546875" style="1" bestFit="1" customWidth="1"/>
    <col min="7947" max="7947" width="21.140625" style="1" bestFit="1" customWidth="1"/>
    <col min="7948" max="7948" width="15" style="1" customWidth="1"/>
    <col min="7949" max="7949" width="14.5703125" style="1" customWidth="1"/>
    <col min="7950" max="7951" width="14.28515625" style="1" customWidth="1"/>
    <col min="7952" max="7953" width="14.140625" style="1" customWidth="1"/>
    <col min="7954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22.85546875" style="1" bestFit="1" customWidth="1"/>
    <col min="8203" max="8203" width="21.140625" style="1" bestFit="1" customWidth="1"/>
    <col min="8204" max="8204" width="15" style="1" customWidth="1"/>
    <col min="8205" max="8205" width="14.5703125" style="1" customWidth="1"/>
    <col min="8206" max="8207" width="14.28515625" style="1" customWidth="1"/>
    <col min="8208" max="8209" width="14.140625" style="1" customWidth="1"/>
    <col min="8210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22.85546875" style="1" bestFit="1" customWidth="1"/>
    <col min="8459" max="8459" width="21.140625" style="1" bestFit="1" customWidth="1"/>
    <col min="8460" max="8460" width="15" style="1" customWidth="1"/>
    <col min="8461" max="8461" width="14.5703125" style="1" customWidth="1"/>
    <col min="8462" max="8463" width="14.28515625" style="1" customWidth="1"/>
    <col min="8464" max="8465" width="14.140625" style="1" customWidth="1"/>
    <col min="8466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22.85546875" style="1" bestFit="1" customWidth="1"/>
    <col min="8715" max="8715" width="21.140625" style="1" bestFit="1" customWidth="1"/>
    <col min="8716" max="8716" width="15" style="1" customWidth="1"/>
    <col min="8717" max="8717" width="14.5703125" style="1" customWidth="1"/>
    <col min="8718" max="8719" width="14.28515625" style="1" customWidth="1"/>
    <col min="8720" max="8721" width="14.140625" style="1" customWidth="1"/>
    <col min="8722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22.85546875" style="1" bestFit="1" customWidth="1"/>
    <col min="8971" max="8971" width="21.140625" style="1" bestFit="1" customWidth="1"/>
    <col min="8972" max="8972" width="15" style="1" customWidth="1"/>
    <col min="8973" max="8973" width="14.5703125" style="1" customWidth="1"/>
    <col min="8974" max="8975" width="14.28515625" style="1" customWidth="1"/>
    <col min="8976" max="8977" width="14.140625" style="1" customWidth="1"/>
    <col min="8978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22.85546875" style="1" bestFit="1" customWidth="1"/>
    <col min="9227" max="9227" width="21.140625" style="1" bestFit="1" customWidth="1"/>
    <col min="9228" max="9228" width="15" style="1" customWidth="1"/>
    <col min="9229" max="9229" width="14.5703125" style="1" customWidth="1"/>
    <col min="9230" max="9231" width="14.28515625" style="1" customWidth="1"/>
    <col min="9232" max="9233" width="14.140625" style="1" customWidth="1"/>
    <col min="9234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22.85546875" style="1" bestFit="1" customWidth="1"/>
    <col min="9483" max="9483" width="21.140625" style="1" bestFit="1" customWidth="1"/>
    <col min="9484" max="9484" width="15" style="1" customWidth="1"/>
    <col min="9485" max="9485" width="14.5703125" style="1" customWidth="1"/>
    <col min="9486" max="9487" width="14.28515625" style="1" customWidth="1"/>
    <col min="9488" max="9489" width="14.140625" style="1" customWidth="1"/>
    <col min="9490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22.85546875" style="1" bestFit="1" customWidth="1"/>
    <col min="9739" max="9739" width="21.140625" style="1" bestFit="1" customWidth="1"/>
    <col min="9740" max="9740" width="15" style="1" customWidth="1"/>
    <col min="9741" max="9741" width="14.5703125" style="1" customWidth="1"/>
    <col min="9742" max="9743" width="14.28515625" style="1" customWidth="1"/>
    <col min="9744" max="9745" width="14.140625" style="1" customWidth="1"/>
    <col min="9746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22.85546875" style="1" bestFit="1" customWidth="1"/>
    <col min="9995" max="9995" width="21.140625" style="1" bestFit="1" customWidth="1"/>
    <col min="9996" max="9996" width="15" style="1" customWidth="1"/>
    <col min="9997" max="9997" width="14.5703125" style="1" customWidth="1"/>
    <col min="9998" max="9999" width="14.28515625" style="1" customWidth="1"/>
    <col min="10000" max="10001" width="14.140625" style="1" customWidth="1"/>
    <col min="10002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22.85546875" style="1" bestFit="1" customWidth="1"/>
    <col min="10251" max="10251" width="21.140625" style="1" bestFit="1" customWidth="1"/>
    <col min="10252" max="10252" width="15" style="1" customWidth="1"/>
    <col min="10253" max="10253" width="14.5703125" style="1" customWidth="1"/>
    <col min="10254" max="10255" width="14.28515625" style="1" customWidth="1"/>
    <col min="10256" max="10257" width="14.140625" style="1" customWidth="1"/>
    <col min="10258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22.85546875" style="1" bestFit="1" customWidth="1"/>
    <col min="10507" max="10507" width="21.140625" style="1" bestFit="1" customWidth="1"/>
    <col min="10508" max="10508" width="15" style="1" customWidth="1"/>
    <col min="10509" max="10509" width="14.5703125" style="1" customWidth="1"/>
    <col min="10510" max="10511" width="14.28515625" style="1" customWidth="1"/>
    <col min="10512" max="10513" width="14.140625" style="1" customWidth="1"/>
    <col min="10514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22.85546875" style="1" bestFit="1" customWidth="1"/>
    <col min="10763" max="10763" width="21.140625" style="1" bestFit="1" customWidth="1"/>
    <col min="10764" max="10764" width="15" style="1" customWidth="1"/>
    <col min="10765" max="10765" width="14.5703125" style="1" customWidth="1"/>
    <col min="10766" max="10767" width="14.28515625" style="1" customWidth="1"/>
    <col min="10768" max="10769" width="14.140625" style="1" customWidth="1"/>
    <col min="10770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22.85546875" style="1" bestFit="1" customWidth="1"/>
    <col min="11019" max="11019" width="21.140625" style="1" bestFit="1" customWidth="1"/>
    <col min="11020" max="11020" width="15" style="1" customWidth="1"/>
    <col min="11021" max="11021" width="14.5703125" style="1" customWidth="1"/>
    <col min="11022" max="11023" width="14.28515625" style="1" customWidth="1"/>
    <col min="11024" max="11025" width="14.140625" style="1" customWidth="1"/>
    <col min="11026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22.85546875" style="1" bestFit="1" customWidth="1"/>
    <col min="11275" max="11275" width="21.140625" style="1" bestFit="1" customWidth="1"/>
    <col min="11276" max="11276" width="15" style="1" customWidth="1"/>
    <col min="11277" max="11277" width="14.5703125" style="1" customWidth="1"/>
    <col min="11278" max="11279" width="14.28515625" style="1" customWidth="1"/>
    <col min="11280" max="11281" width="14.140625" style="1" customWidth="1"/>
    <col min="11282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22.85546875" style="1" bestFit="1" customWidth="1"/>
    <col min="11531" max="11531" width="21.140625" style="1" bestFit="1" customWidth="1"/>
    <col min="11532" max="11532" width="15" style="1" customWidth="1"/>
    <col min="11533" max="11533" width="14.5703125" style="1" customWidth="1"/>
    <col min="11534" max="11535" width="14.28515625" style="1" customWidth="1"/>
    <col min="11536" max="11537" width="14.140625" style="1" customWidth="1"/>
    <col min="11538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22.85546875" style="1" bestFit="1" customWidth="1"/>
    <col min="11787" max="11787" width="21.140625" style="1" bestFit="1" customWidth="1"/>
    <col min="11788" max="11788" width="15" style="1" customWidth="1"/>
    <col min="11789" max="11789" width="14.5703125" style="1" customWidth="1"/>
    <col min="11790" max="11791" width="14.28515625" style="1" customWidth="1"/>
    <col min="11792" max="11793" width="14.140625" style="1" customWidth="1"/>
    <col min="11794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22.85546875" style="1" bestFit="1" customWidth="1"/>
    <col min="12043" max="12043" width="21.140625" style="1" bestFit="1" customWidth="1"/>
    <col min="12044" max="12044" width="15" style="1" customWidth="1"/>
    <col min="12045" max="12045" width="14.5703125" style="1" customWidth="1"/>
    <col min="12046" max="12047" width="14.28515625" style="1" customWidth="1"/>
    <col min="12048" max="12049" width="14.140625" style="1" customWidth="1"/>
    <col min="12050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22.85546875" style="1" bestFit="1" customWidth="1"/>
    <col min="12299" max="12299" width="21.140625" style="1" bestFit="1" customWidth="1"/>
    <col min="12300" max="12300" width="15" style="1" customWidth="1"/>
    <col min="12301" max="12301" width="14.5703125" style="1" customWidth="1"/>
    <col min="12302" max="12303" width="14.28515625" style="1" customWidth="1"/>
    <col min="12304" max="12305" width="14.140625" style="1" customWidth="1"/>
    <col min="12306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22.85546875" style="1" bestFit="1" customWidth="1"/>
    <col min="12555" max="12555" width="21.140625" style="1" bestFit="1" customWidth="1"/>
    <col min="12556" max="12556" width="15" style="1" customWidth="1"/>
    <col min="12557" max="12557" width="14.5703125" style="1" customWidth="1"/>
    <col min="12558" max="12559" width="14.28515625" style="1" customWidth="1"/>
    <col min="12560" max="12561" width="14.140625" style="1" customWidth="1"/>
    <col min="12562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22.85546875" style="1" bestFit="1" customWidth="1"/>
    <col min="12811" max="12811" width="21.140625" style="1" bestFit="1" customWidth="1"/>
    <col min="12812" max="12812" width="15" style="1" customWidth="1"/>
    <col min="12813" max="12813" width="14.5703125" style="1" customWidth="1"/>
    <col min="12814" max="12815" width="14.28515625" style="1" customWidth="1"/>
    <col min="12816" max="12817" width="14.140625" style="1" customWidth="1"/>
    <col min="12818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22.85546875" style="1" bestFit="1" customWidth="1"/>
    <col min="13067" max="13067" width="21.140625" style="1" bestFit="1" customWidth="1"/>
    <col min="13068" max="13068" width="15" style="1" customWidth="1"/>
    <col min="13069" max="13069" width="14.5703125" style="1" customWidth="1"/>
    <col min="13070" max="13071" width="14.28515625" style="1" customWidth="1"/>
    <col min="13072" max="13073" width="14.140625" style="1" customWidth="1"/>
    <col min="13074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22.85546875" style="1" bestFit="1" customWidth="1"/>
    <col min="13323" max="13323" width="21.140625" style="1" bestFit="1" customWidth="1"/>
    <col min="13324" max="13324" width="15" style="1" customWidth="1"/>
    <col min="13325" max="13325" width="14.5703125" style="1" customWidth="1"/>
    <col min="13326" max="13327" width="14.28515625" style="1" customWidth="1"/>
    <col min="13328" max="13329" width="14.140625" style="1" customWidth="1"/>
    <col min="13330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22.85546875" style="1" bestFit="1" customWidth="1"/>
    <col min="13579" max="13579" width="21.140625" style="1" bestFit="1" customWidth="1"/>
    <col min="13580" max="13580" width="15" style="1" customWidth="1"/>
    <col min="13581" max="13581" width="14.5703125" style="1" customWidth="1"/>
    <col min="13582" max="13583" width="14.28515625" style="1" customWidth="1"/>
    <col min="13584" max="13585" width="14.140625" style="1" customWidth="1"/>
    <col min="13586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22.85546875" style="1" bestFit="1" customWidth="1"/>
    <col min="13835" max="13835" width="21.140625" style="1" bestFit="1" customWidth="1"/>
    <col min="13836" max="13836" width="15" style="1" customWidth="1"/>
    <col min="13837" max="13837" width="14.5703125" style="1" customWidth="1"/>
    <col min="13838" max="13839" width="14.28515625" style="1" customWidth="1"/>
    <col min="13840" max="13841" width="14.140625" style="1" customWidth="1"/>
    <col min="13842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22.85546875" style="1" bestFit="1" customWidth="1"/>
    <col min="14091" max="14091" width="21.140625" style="1" bestFit="1" customWidth="1"/>
    <col min="14092" max="14092" width="15" style="1" customWidth="1"/>
    <col min="14093" max="14093" width="14.5703125" style="1" customWidth="1"/>
    <col min="14094" max="14095" width="14.28515625" style="1" customWidth="1"/>
    <col min="14096" max="14097" width="14.140625" style="1" customWidth="1"/>
    <col min="14098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22.85546875" style="1" bestFit="1" customWidth="1"/>
    <col min="14347" max="14347" width="21.140625" style="1" bestFit="1" customWidth="1"/>
    <col min="14348" max="14348" width="15" style="1" customWidth="1"/>
    <col min="14349" max="14349" width="14.5703125" style="1" customWidth="1"/>
    <col min="14350" max="14351" width="14.28515625" style="1" customWidth="1"/>
    <col min="14352" max="14353" width="14.140625" style="1" customWidth="1"/>
    <col min="14354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22.85546875" style="1" bestFit="1" customWidth="1"/>
    <col min="14603" max="14603" width="21.140625" style="1" bestFit="1" customWidth="1"/>
    <col min="14604" max="14604" width="15" style="1" customWidth="1"/>
    <col min="14605" max="14605" width="14.5703125" style="1" customWidth="1"/>
    <col min="14606" max="14607" width="14.28515625" style="1" customWidth="1"/>
    <col min="14608" max="14609" width="14.140625" style="1" customWidth="1"/>
    <col min="14610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22.85546875" style="1" bestFit="1" customWidth="1"/>
    <col min="14859" max="14859" width="21.140625" style="1" bestFit="1" customWidth="1"/>
    <col min="14860" max="14860" width="15" style="1" customWidth="1"/>
    <col min="14861" max="14861" width="14.5703125" style="1" customWidth="1"/>
    <col min="14862" max="14863" width="14.28515625" style="1" customWidth="1"/>
    <col min="14864" max="14865" width="14.140625" style="1" customWidth="1"/>
    <col min="14866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22.85546875" style="1" bestFit="1" customWidth="1"/>
    <col min="15115" max="15115" width="21.140625" style="1" bestFit="1" customWidth="1"/>
    <col min="15116" max="15116" width="15" style="1" customWidth="1"/>
    <col min="15117" max="15117" width="14.5703125" style="1" customWidth="1"/>
    <col min="15118" max="15119" width="14.28515625" style="1" customWidth="1"/>
    <col min="15120" max="15121" width="14.140625" style="1" customWidth="1"/>
    <col min="15122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22.85546875" style="1" bestFit="1" customWidth="1"/>
    <col min="15371" max="15371" width="21.140625" style="1" bestFit="1" customWidth="1"/>
    <col min="15372" max="15372" width="15" style="1" customWidth="1"/>
    <col min="15373" max="15373" width="14.5703125" style="1" customWidth="1"/>
    <col min="15374" max="15375" width="14.28515625" style="1" customWidth="1"/>
    <col min="15376" max="15377" width="14.140625" style="1" customWidth="1"/>
    <col min="15378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22.85546875" style="1" bestFit="1" customWidth="1"/>
    <col min="15627" max="15627" width="21.140625" style="1" bestFit="1" customWidth="1"/>
    <col min="15628" max="15628" width="15" style="1" customWidth="1"/>
    <col min="15629" max="15629" width="14.5703125" style="1" customWidth="1"/>
    <col min="15630" max="15631" width="14.28515625" style="1" customWidth="1"/>
    <col min="15632" max="15633" width="14.140625" style="1" customWidth="1"/>
    <col min="15634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22.85546875" style="1" bestFit="1" customWidth="1"/>
    <col min="15883" max="15883" width="21.140625" style="1" bestFit="1" customWidth="1"/>
    <col min="15884" max="15884" width="15" style="1" customWidth="1"/>
    <col min="15885" max="15885" width="14.5703125" style="1" customWidth="1"/>
    <col min="15886" max="15887" width="14.28515625" style="1" customWidth="1"/>
    <col min="15888" max="15889" width="14.140625" style="1" customWidth="1"/>
    <col min="15890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22.85546875" style="1" bestFit="1" customWidth="1"/>
    <col min="16139" max="16139" width="21.140625" style="1" bestFit="1" customWidth="1"/>
    <col min="16140" max="16140" width="15" style="1" customWidth="1"/>
    <col min="16141" max="16141" width="14.5703125" style="1" customWidth="1"/>
    <col min="16142" max="16143" width="14.28515625" style="1" customWidth="1"/>
    <col min="16144" max="16145" width="14.140625" style="1" customWidth="1"/>
    <col min="16146" max="16384" width="21.5703125" style="1"/>
  </cols>
  <sheetData>
    <row r="1" spans="2:17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2"/>
      <c r="P1" s="2"/>
      <c r="Q1" s="72"/>
    </row>
    <row r="2" spans="2:17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2"/>
      <c r="P2" s="2"/>
    </row>
    <row r="3" spans="2:17" ht="15.75" x14ac:dyDescent="0.25">
      <c r="E3" s="77">
        <v>2017</v>
      </c>
      <c r="F3" s="3"/>
      <c r="G3" s="3"/>
      <c r="H3" s="7"/>
      <c r="I3" s="3"/>
      <c r="J3" s="7"/>
      <c r="K3" s="7"/>
      <c r="L3" s="7"/>
      <c r="M3" s="7"/>
      <c r="N3" s="7"/>
      <c r="O3" s="7"/>
      <c r="P3" s="7"/>
    </row>
    <row r="4" spans="2:17" ht="16.5" thickBot="1" x14ac:dyDescent="0.3">
      <c r="F4" s="5"/>
      <c r="G4" s="9"/>
      <c r="H4" s="9"/>
      <c r="I4" s="9"/>
      <c r="J4" s="9"/>
      <c r="K4" s="9"/>
      <c r="L4" s="9"/>
      <c r="M4" s="9"/>
      <c r="N4" s="9"/>
      <c r="Q4" s="76" t="s">
        <v>54</v>
      </c>
    </row>
    <row r="5" spans="2:17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61</v>
      </c>
      <c r="K5" s="12" t="s">
        <v>60</v>
      </c>
      <c r="L5" s="12" t="s">
        <v>8</v>
      </c>
      <c r="M5" s="12" t="s">
        <v>9</v>
      </c>
      <c r="N5" s="12" t="s">
        <v>10</v>
      </c>
      <c r="O5" s="12" t="s">
        <v>11</v>
      </c>
      <c r="P5" s="13" t="s">
        <v>59</v>
      </c>
      <c r="Q5" s="63" t="s">
        <v>56</v>
      </c>
    </row>
    <row r="6" spans="2:17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8"/>
      <c r="Q6" s="64"/>
    </row>
    <row r="7" spans="2:17" ht="15.75" x14ac:dyDescent="0.25">
      <c r="E7" s="20" t="s">
        <v>13</v>
      </c>
      <c r="F7" s="16">
        <f>G7+H7+I7+J7+K7+L7+M7+N7+O7+P7+Q7</f>
        <v>140141340</v>
      </c>
      <c r="G7" s="16">
        <v>725625</v>
      </c>
      <c r="H7" s="16">
        <v>23246223</v>
      </c>
      <c r="I7" s="16">
        <v>2861</v>
      </c>
      <c r="J7" s="16">
        <v>46980758</v>
      </c>
      <c r="K7" s="16">
        <v>11778526</v>
      </c>
      <c r="L7" s="16">
        <v>346887</v>
      </c>
      <c r="M7" s="16">
        <v>980326</v>
      </c>
      <c r="N7" s="16">
        <v>42905820</v>
      </c>
      <c r="O7" s="16">
        <v>13044588</v>
      </c>
      <c r="P7" s="16">
        <v>0</v>
      </c>
      <c r="Q7" s="66">
        <v>129726</v>
      </c>
    </row>
    <row r="8" spans="2:17" ht="15.75" x14ac:dyDescent="0.25"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66"/>
    </row>
    <row r="9" spans="2:17" ht="15.75" x14ac:dyDescent="0.25">
      <c r="E9" s="20" t="s">
        <v>14</v>
      </c>
      <c r="F9" s="16">
        <f>G9+H9+I9+J9+K9+L9+M9+N9+O9+P9+Q9</f>
        <v>8229737</v>
      </c>
      <c r="G9" s="16">
        <v>739</v>
      </c>
      <c r="H9" s="16">
        <v>1191113</v>
      </c>
      <c r="I9" s="16">
        <v>10051</v>
      </c>
      <c r="J9" s="16">
        <v>1556579</v>
      </c>
      <c r="K9" s="16">
        <v>390273</v>
      </c>
      <c r="L9" s="16">
        <v>5056285</v>
      </c>
      <c r="M9" s="16">
        <v>0</v>
      </c>
      <c r="N9" s="16">
        <v>0</v>
      </c>
      <c r="O9" s="16">
        <v>0</v>
      </c>
      <c r="P9" s="16">
        <v>0</v>
      </c>
      <c r="Q9" s="66">
        <v>24697</v>
      </c>
    </row>
    <row r="10" spans="2:17" ht="15.75" x14ac:dyDescent="0.25"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66"/>
    </row>
    <row r="11" spans="2:17" ht="15.75" x14ac:dyDescent="0.25">
      <c r="B11" s="21"/>
      <c r="C11" s="21"/>
      <c r="D11" s="21"/>
      <c r="E11" s="20" t="s">
        <v>15</v>
      </c>
      <c r="F11" s="16">
        <f>G11+H11+I11+J11+K11+L11+M11+N11+O11+P11+Q11</f>
        <v>72314632</v>
      </c>
      <c r="G11" s="16">
        <v>293385</v>
      </c>
      <c r="H11" s="16">
        <v>9587452</v>
      </c>
      <c r="I11" s="16">
        <v>0</v>
      </c>
      <c r="J11" s="16">
        <v>19172218</v>
      </c>
      <c r="K11" s="16">
        <v>5440318</v>
      </c>
      <c r="L11" s="16">
        <v>532541</v>
      </c>
      <c r="M11" s="16">
        <v>562406</v>
      </c>
      <c r="N11" s="16">
        <v>31033829</v>
      </c>
      <c r="O11" s="16">
        <v>5692483</v>
      </c>
      <c r="P11" s="16">
        <v>0</v>
      </c>
      <c r="Q11" s="66">
        <v>0</v>
      </c>
    </row>
    <row r="12" spans="2:17" ht="15.75" x14ac:dyDescent="0.25"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6"/>
    </row>
    <row r="13" spans="2:17" ht="15.75" x14ac:dyDescent="0.25">
      <c r="E13" s="20" t="s">
        <v>17</v>
      </c>
      <c r="F13" s="16">
        <f>G13+H13+I13+J13+K13+L13+M13+N13+O13+P13+Q13</f>
        <v>6535381</v>
      </c>
      <c r="G13" s="16">
        <v>0</v>
      </c>
      <c r="H13" s="16">
        <v>583443</v>
      </c>
      <c r="I13" s="16">
        <v>0</v>
      </c>
      <c r="J13" s="16">
        <v>1602336</v>
      </c>
      <c r="K13" s="16">
        <v>643066</v>
      </c>
      <c r="L13" s="16">
        <v>3706536</v>
      </c>
      <c r="M13" s="16">
        <v>0</v>
      </c>
      <c r="N13" s="16">
        <v>0</v>
      </c>
      <c r="O13" s="16">
        <v>0</v>
      </c>
      <c r="P13" s="16">
        <v>0</v>
      </c>
      <c r="Q13" s="66">
        <v>0</v>
      </c>
    </row>
    <row r="14" spans="2:17" ht="15.75" x14ac:dyDescent="0.25"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66"/>
    </row>
    <row r="15" spans="2:17" ht="15.75" x14ac:dyDescent="0.25">
      <c r="E15" s="20" t="s">
        <v>18</v>
      </c>
      <c r="F15" s="16">
        <f>G15+H15+I15+J15+K15+L15+M15+N15+O15+P15+Q15</f>
        <v>13644342</v>
      </c>
      <c r="G15" s="16">
        <v>0</v>
      </c>
      <c r="H15" s="16">
        <v>1143670</v>
      </c>
      <c r="I15" s="16">
        <v>0</v>
      </c>
      <c r="J15" s="16">
        <v>4091969</v>
      </c>
      <c r="K15" s="16">
        <v>1503784</v>
      </c>
      <c r="L15" s="16">
        <v>6477065</v>
      </c>
      <c r="M15" s="16">
        <v>427854</v>
      </c>
      <c r="N15" s="16">
        <v>0</v>
      </c>
      <c r="O15" s="16">
        <v>0</v>
      </c>
      <c r="P15" s="16">
        <v>0</v>
      </c>
      <c r="Q15" s="66">
        <v>0</v>
      </c>
    </row>
    <row r="16" spans="2:17" ht="15.75" x14ac:dyDescent="0.25"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66"/>
    </row>
    <row r="17" spans="5:17" ht="15.75" x14ac:dyDescent="0.25">
      <c r="E17" s="20" t="s">
        <v>19</v>
      </c>
      <c r="F17" s="16">
        <f>G17+H17+I17+J17+K17+L17+M17+N17+O17+P17+Q17</f>
        <v>25648084</v>
      </c>
      <c r="G17" s="16">
        <v>0</v>
      </c>
      <c r="H17" s="16">
        <v>2687849</v>
      </c>
      <c r="I17" s="16">
        <v>0</v>
      </c>
      <c r="J17" s="16">
        <v>7095590</v>
      </c>
      <c r="K17" s="16">
        <v>1785327</v>
      </c>
      <c r="L17" s="16">
        <v>418761</v>
      </c>
      <c r="M17" s="16">
        <v>949554</v>
      </c>
      <c r="N17" s="16">
        <v>9760357</v>
      </c>
      <c r="O17" s="16">
        <v>2935947</v>
      </c>
      <c r="P17" s="16">
        <v>0</v>
      </c>
      <c r="Q17" s="66">
        <v>14699</v>
      </c>
    </row>
    <row r="18" spans="5:17" ht="15.75" x14ac:dyDescent="0.25"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66"/>
    </row>
    <row r="19" spans="5:17" ht="15.75" x14ac:dyDescent="0.25">
      <c r="E19" s="20" t="s">
        <v>20</v>
      </c>
      <c r="F19" s="16">
        <f>G19+H19+I19+J19+K19+L19+M19+N19+O19+P19+Q19</f>
        <v>19682599</v>
      </c>
      <c r="G19" s="16">
        <v>0</v>
      </c>
      <c r="H19" s="16">
        <v>2451285</v>
      </c>
      <c r="I19" s="16">
        <v>0</v>
      </c>
      <c r="J19" s="16">
        <v>5610245</v>
      </c>
      <c r="K19" s="16">
        <v>2143711</v>
      </c>
      <c r="L19" s="16">
        <v>244696</v>
      </c>
      <c r="M19" s="16">
        <v>435094</v>
      </c>
      <c r="N19" s="16">
        <v>8797568</v>
      </c>
      <c r="O19" s="16">
        <v>0</v>
      </c>
      <c r="P19" s="16">
        <v>0</v>
      </c>
      <c r="Q19" s="66">
        <v>0</v>
      </c>
    </row>
    <row r="20" spans="5:17" ht="15.75" x14ac:dyDescent="0.25"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66"/>
    </row>
    <row r="21" spans="5:17" ht="15.75" x14ac:dyDescent="0.25">
      <c r="E21" s="20" t="s">
        <v>21</v>
      </c>
      <c r="F21" s="16">
        <f>G21+H21+I21+J21+K21+L21+M21+N21+O21+P21+Q21</f>
        <v>4355768</v>
      </c>
      <c r="G21" s="16">
        <v>0</v>
      </c>
      <c r="H21" s="16">
        <v>631170</v>
      </c>
      <c r="I21" s="16">
        <v>0</v>
      </c>
      <c r="J21" s="16">
        <v>1772069</v>
      </c>
      <c r="K21" s="16">
        <v>304725</v>
      </c>
      <c r="L21" s="16">
        <v>1647804</v>
      </c>
      <c r="M21" s="16">
        <v>0</v>
      </c>
      <c r="N21" s="16">
        <v>0</v>
      </c>
      <c r="O21" s="16">
        <v>0</v>
      </c>
      <c r="P21" s="16">
        <v>0</v>
      </c>
      <c r="Q21" s="66">
        <v>0</v>
      </c>
    </row>
    <row r="22" spans="5:17" ht="15.75" x14ac:dyDescent="0.25"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66"/>
    </row>
    <row r="23" spans="5:17" ht="15.75" x14ac:dyDescent="0.25">
      <c r="E23" s="20" t="s">
        <v>22</v>
      </c>
      <c r="F23" s="16">
        <f>G23+H23+I23+J23+K23+L23+M23+N23+O23+P23+Q23</f>
        <v>784490</v>
      </c>
      <c r="G23" s="16">
        <v>0</v>
      </c>
      <c r="H23" s="16">
        <v>23859</v>
      </c>
      <c r="I23" s="16">
        <v>0</v>
      </c>
      <c r="J23" s="16">
        <v>288570</v>
      </c>
      <c r="K23" s="16">
        <v>27880</v>
      </c>
      <c r="L23" s="16">
        <v>444181</v>
      </c>
      <c r="M23" s="16">
        <v>0</v>
      </c>
      <c r="N23" s="16">
        <v>0</v>
      </c>
      <c r="O23" s="16">
        <v>0</v>
      </c>
      <c r="P23" s="16">
        <v>0</v>
      </c>
      <c r="Q23" s="66">
        <v>0</v>
      </c>
    </row>
    <row r="24" spans="5:17" ht="15.75" x14ac:dyDescent="0.25">
      <c r="E24" s="2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66"/>
    </row>
    <row r="25" spans="5:17" ht="15.75" x14ac:dyDescent="0.25">
      <c r="E25" s="65" t="s">
        <v>3</v>
      </c>
      <c r="F25" s="16">
        <f>G25+H25+I25+J25+K25+L25+M25+N25+O25+P25+Q25</f>
        <v>291336373</v>
      </c>
      <c r="G25" s="16">
        <f t="shared" ref="G25:Q25" si="0">G7+G9+G11+G13+G15+G17+G19+G21+G23</f>
        <v>1019749</v>
      </c>
      <c r="H25" s="16">
        <f t="shared" si="0"/>
        <v>41546064</v>
      </c>
      <c r="I25" s="16">
        <f t="shared" si="0"/>
        <v>12912</v>
      </c>
      <c r="J25" s="16">
        <f t="shared" si="0"/>
        <v>88170334</v>
      </c>
      <c r="K25" s="16">
        <f>K7+K9+K11+K13+K15+K17+K19+K21+K23</f>
        <v>24017610</v>
      </c>
      <c r="L25" s="16">
        <f t="shared" si="0"/>
        <v>18874756</v>
      </c>
      <c r="M25" s="16">
        <f t="shared" si="0"/>
        <v>3355234</v>
      </c>
      <c r="N25" s="16">
        <f t="shared" si="0"/>
        <v>92497574</v>
      </c>
      <c r="O25" s="16">
        <f t="shared" si="0"/>
        <v>21673018</v>
      </c>
      <c r="P25" s="16">
        <f>P7+P9+P11+P13+P15+P17+P19+P21+P23</f>
        <v>0</v>
      </c>
      <c r="Q25" s="66">
        <f t="shared" si="0"/>
        <v>169122</v>
      </c>
    </row>
    <row r="26" spans="5:17" ht="16.5" thickBot="1" x14ac:dyDescent="0.3"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67"/>
    </row>
    <row r="27" spans="5:17" ht="16.5" thickTop="1" x14ac:dyDescent="0.25"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7"/>
    </row>
    <row r="28" spans="5:17" ht="15.75" x14ac:dyDescent="0.25">
      <c r="E28" s="33" t="s">
        <v>23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</row>
    <row r="29" spans="5:17" ht="15.75" x14ac:dyDescent="0.25"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7" ht="15.75" x14ac:dyDescent="0.25">
      <c r="F30" s="34"/>
      <c r="G30" s="35"/>
      <c r="H30" s="35"/>
      <c r="I30" s="35"/>
      <c r="J30" s="35"/>
      <c r="K30" s="35"/>
      <c r="L30" s="35"/>
      <c r="M30" s="35"/>
      <c r="N30" s="35"/>
      <c r="O30" s="35"/>
    </row>
    <row r="31" spans="5:17" ht="15.75" x14ac:dyDescent="0.25">
      <c r="E31" s="2" t="s">
        <v>0</v>
      </c>
      <c r="F31" s="3"/>
      <c r="G31" s="3"/>
      <c r="H31" s="7"/>
      <c r="I31" s="3"/>
      <c r="J31" s="7"/>
      <c r="K31" s="7"/>
      <c r="L31" s="7"/>
      <c r="M31" s="7"/>
      <c r="N31" s="7"/>
      <c r="O31" s="7"/>
      <c r="P31" s="7"/>
    </row>
    <row r="32" spans="5:17" ht="15.75" x14ac:dyDescent="0.25">
      <c r="F32" s="36"/>
      <c r="G32" s="37"/>
      <c r="H32" s="38"/>
      <c r="I32" s="38"/>
      <c r="J32" s="39" t="s">
        <v>1</v>
      </c>
      <c r="K32" s="39"/>
      <c r="L32" s="38"/>
      <c r="M32" s="38"/>
      <c r="N32" s="38"/>
      <c r="O32" s="38"/>
      <c r="P32" s="38"/>
    </row>
    <row r="33" spans="5:17" ht="15.75" x14ac:dyDescent="0.25">
      <c r="E33" s="77">
        <v>2017</v>
      </c>
      <c r="F33" s="3"/>
      <c r="G33" s="3"/>
      <c r="H33" s="7"/>
      <c r="I33" s="3"/>
      <c r="J33" s="7"/>
      <c r="K33" s="7"/>
      <c r="L33" s="7"/>
      <c r="M33" s="7"/>
      <c r="N33" s="7"/>
      <c r="O33" s="7"/>
      <c r="P33" s="7"/>
    </row>
    <row r="34" spans="5:17" ht="16.5" thickBot="1" x14ac:dyDescent="0.3">
      <c r="F34" s="36"/>
      <c r="G34" s="38"/>
      <c r="H34" s="38"/>
      <c r="I34" s="38"/>
      <c r="J34" s="38"/>
      <c r="K34" s="38"/>
      <c r="L34" s="38"/>
      <c r="M34" s="38"/>
      <c r="N34" s="38"/>
      <c r="Q34" s="76" t="s">
        <v>54</v>
      </c>
    </row>
    <row r="35" spans="5:17" ht="15.95" customHeight="1" thickTop="1" x14ac:dyDescent="0.25">
      <c r="E35" s="41" t="s">
        <v>24</v>
      </c>
      <c r="F35" s="42" t="s">
        <v>3</v>
      </c>
      <c r="G35" s="62" t="s">
        <v>43</v>
      </c>
      <c r="H35" s="62" t="s">
        <v>40</v>
      </c>
      <c r="I35" s="43" t="s">
        <v>6</v>
      </c>
      <c r="J35" s="43" t="s">
        <v>61</v>
      </c>
      <c r="K35" s="12" t="s">
        <v>60</v>
      </c>
      <c r="L35" s="43" t="s">
        <v>8</v>
      </c>
      <c r="M35" s="43" t="s">
        <v>25</v>
      </c>
      <c r="N35" s="44" t="s">
        <v>10</v>
      </c>
      <c r="O35" s="12" t="s">
        <v>11</v>
      </c>
      <c r="P35" s="13" t="s">
        <v>59</v>
      </c>
      <c r="Q35" s="63" t="s">
        <v>56</v>
      </c>
    </row>
    <row r="36" spans="5:17" ht="15.95" customHeight="1" x14ac:dyDescent="0.25">
      <c r="E36" s="45"/>
      <c r="F36" s="46"/>
      <c r="G36" s="46"/>
      <c r="H36" s="46"/>
      <c r="I36" s="46"/>
      <c r="J36" s="46"/>
      <c r="K36" s="46"/>
      <c r="L36" s="46"/>
      <c r="M36" s="46"/>
      <c r="N36" s="78"/>
      <c r="O36" s="46"/>
      <c r="P36" s="78"/>
      <c r="Q36" s="79"/>
    </row>
    <row r="37" spans="5:17" ht="15.95" customHeight="1" x14ac:dyDescent="0.25">
      <c r="E37" s="45" t="s">
        <v>26</v>
      </c>
      <c r="F37" s="49">
        <f>SUM(G37:Q37)</f>
        <v>20846596</v>
      </c>
      <c r="G37" s="49">
        <v>70464</v>
      </c>
      <c r="H37" s="49">
        <v>2879400</v>
      </c>
      <c r="I37" s="49">
        <v>0</v>
      </c>
      <c r="J37" s="49">
        <v>6570190</v>
      </c>
      <c r="K37" s="49">
        <v>1269126</v>
      </c>
      <c r="L37" s="49">
        <v>1508689</v>
      </c>
      <c r="M37" s="80">
        <v>226661</v>
      </c>
      <c r="N37" s="80">
        <v>6506332</v>
      </c>
      <c r="O37" s="49">
        <v>1810137</v>
      </c>
      <c r="P37" s="83">
        <v>0</v>
      </c>
      <c r="Q37" s="81">
        <v>5597</v>
      </c>
    </row>
    <row r="38" spans="5:17" ht="15.95" customHeight="1" x14ac:dyDescent="0.25">
      <c r="E38" s="45" t="s">
        <v>27</v>
      </c>
      <c r="F38" s="49">
        <f>SUM(G38:Q38)</f>
        <v>22512606</v>
      </c>
      <c r="G38" s="49">
        <v>97889</v>
      </c>
      <c r="H38" s="49">
        <v>3017670</v>
      </c>
      <c r="I38" s="49">
        <v>999</v>
      </c>
      <c r="J38" s="49">
        <v>6575049</v>
      </c>
      <c r="K38" s="49">
        <v>1364756</v>
      </c>
      <c r="L38" s="49">
        <v>1235003</v>
      </c>
      <c r="M38" s="80">
        <v>294501</v>
      </c>
      <c r="N38" s="80">
        <v>8107109</v>
      </c>
      <c r="O38" s="49">
        <v>1817660</v>
      </c>
      <c r="P38" s="83">
        <v>0</v>
      </c>
      <c r="Q38" s="81">
        <v>1970</v>
      </c>
    </row>
    <row r="39" spans="5:17" ht="15.95" customHeight="1" x14ac:dyDescent="0.25">
      <c r="E39" s="45" t="s">
        <v>28</v>
      </c>
      <c r="F39" s="49">
        <f>SUM(G39:Q39)</f>
        <v>23093377</v>
      </c>
      <c r="G39" s="49">
        <v>86998</v>
      </c>
      <c r="H39" s="49">
        <v>3185122</v>
      </c>
      <c r="I39" s="49">
        <v>2004</v>
      </c>
      <c r="J39" s="49">
        <v>7592967</v>
      </c>
      <c r="K39" s="49">
        <v>1834211</v>
      </c>
      <c r="L39" s="49">
        <v>1473955</v>
      </c>
      <c r="M39" s="80">
        <v>240147</v>
      </c>
      <c r="N39" s="80">
        <v>6863019</v>
      </c>
      <c r="O39" s="49">
        <v>1814954</v>
      </c>
      <c r="P39" s="83">
        <v>0</v>
      </c>
      <c r="Q39" s="81">
        <v>0</v>
      </c>
    </row>
    <row r="40" spans="5:17" ht="15.95" customHeight="1" x14ac:dyDescent="0.25">
      <c r="E40" s="45"/>
      <c r="F40" s="49">
        <f t="shared" ref="F40:L40" si="1">F37+F38+F39</f>
        <v>66452579</v>
      </c>
      <c r="G40" s="49">
        <f t="shared" si="1"/>
        <v>255351</v>
      </c>
      <c r="H40" s="49">
        <f t="shared" si="1"/>
        <v>9082192</v>
      </c>
      <c r="I40" s="49">
        <f t="shared" si="1"/>
        <v>3003</v>
      </c>
      <c r="J40" s="49">
        <f t="shared" si="1"/>
        <v>20738206</v>
      </c>
      <c r="K40" s="49">
        <f t="shared" si="1"/>
        <v>4468093</v>
      </c>
      <c r="L40" s="49">
        <f t="shared" si="1"/>
        <v>4217647</v>
      </c>
      <c r="M40" s="80">
        <f>SUM(M37:M39)</f>
        <v>761309</v>
      </c>
      <c r="N40" s="80">
        <f>SUM(N37:N39)</f>
        <v>21476460</v>
      </c>
      <c r="O40" s="49">
        <f>O37+O38+O39</f>
        <v>5442751</v>
      </c>
      <c r="P40" s="49">
        <f>P37+P38+P39</f>
        <v>0</v>
      </c>
      <c r="Q40" s="81">
        <f>Q37+Q38+Q39</f>
        <v>7567</v>
      </c>
    </row>
    <row r="41" spans="5:17" ht="15.95" customHeight="1" x14ac:dyDescent="0.25">
      <c r="E41" s="45" t="s">
        <v>29</v>
      </c>
      <c r="F41" s="49">
        <f>SUM(G41:Q41)</f>
        <v>21504107</v>
      </c>
      <c r="G41" s="49"/>
      <c r="H41" s="49">
        <v>3164824</v>
      </c>
      <c r="I41" s="49">
        <v>300</v>
      </c>
      <c r="J41" s="49">
        <v>6768168</v>
      </c>
      <c r="K41" s="49">
        <v>1862915</v>
      </c>
      <c r="L41" s="49">
        <v>1387881</v>
      </c>
      <c r="M41" s="80">
        <v>289408</v>
      </c>
      <c r="N41" s="80">
        <v>6217043</v>
      </c>
      <c r="O41" s="49">
        <v>1812016</v>
      </c>
      <c r="P41" s="83">
        <v>0</v>
      </c>
      <c r="Q41" s="81">
        <v>1552</v>
      </c>
    </row>
    <row r="42" spans="5:17" ht="15.95" customHeight="1" x14ac:dyDescent="0.25">
      <c r="E42" s="45" t="s">
        <v>30</v>
      </c>
      <c r="F42" s="49">
        <f>SUM(G42:Q42)</f>
        <v>25900731</v>
      </c>
      <c r="G42" s="49">
        <v>101704</v>
      </c>
      <c r="H42" s="49">
        <v>3564009</v>
      </c>
      <c r="I42" s="49">
        <v>0</v>
      </c>
      <c r="J42" s="49">
        <v>7901644</v>
      </c>
      <c r="K42" s="49">
        <v>2573370</v>
      </c>
      <c r="L42" s="49">
        <v>1497488</v>
      </c>
      <c r="M42" s="80">
        <v>223203</v>
      </c>
      <c r="N42" s="80">
        <v>7372468</v>
      </c>
      <c r="O42" s="49">
        <v>2660862</v>
      </c>
      <c r="P42" s="83">
        <v>0</v>
      </c>
      <c r="Q42" s="81">
        <v>5983</v>
      </c>
    </row>
    <row r="43" spans="5:17" ht="15.95" customHeight="1" x14ac:dyDescent="0.25">
      <c r="E43" s="45" t="s">
        <v>31</v>
      </c>
      <c r="F43" s="49">
        <f>SUM(G43:Q43)</f>
        <v>26915166</v>
      </c>
      <c r="G43" s="49">
        <v>95411</v>
      </c>
      <c r="H43" s="49">
        <v>3710125</v>
      </c>
      <c r="I43" s="49">
        <v>2983</v>
      </c>
      <c r="J43" s="49">
        <v>8230461</v>
      </c>
      <c r="K43" s="49">
        <v>2737902</v>
      </c>
      <c r="L43" s="49">
        <v>1463522</v>
      </c>
      <c r="M43" s="80">
        <v>202011</v>
      </c>
      <c r="N43" s="80">
        <v>8504922</v>
      </c>
      <c r="O43" s="49">
        <v>1962876</v>
      </c>
      <c r="P43" s="83">
        <v>0</v>
      </c>
      <c r="Q43" s="81">
        <v>4953</v>
      </c>
    </row>
    <row r="44" spans="5:17" ht="15.95" customHeight="1" x14ac:dyDescent="0.25">
      <c r="E44" s="45"/>
      <c r="F44" s="49">
        <f t="shared" ref="F44:L44" si="2">F41+F42+F43</f>
        <v>74320004</v>
      </c>
      <c r="G44" s="49">
        <f t="shared" si="2"/>
        <v>197115</v>
      </c>
      <c r="H44" s="49">
        <f t="shared" si="2"/>
        <v>10438958</v>
      </c>
      <c r="I44" s="49">
        <f t="shared" si="2"/>
        <v>3283</v>
      </c>
      <c r="J44" s="49">
        <f t="shared" si="2"/>
        <v>22900273</v>
      </c>
      <c r="K44" s="49">
        <f>K41+K42+K43</f>
        <v>7174187</v>
      </c>
      <c r="L44" s="49">
        <f t="shared" si="2"/>
        <v>4348891</v>
      </c>
      <c r="M44" s="80">
        <f>SUM(M41:M43)</f>
        <v>714622</v>
      </c>
      <c r="N44" s="80">
        <f>SUM(N41:N43)</f>
        <v>22094433</v>
      </c>
      <c r="O44" s="49">
        <f>O41+O42+O43</f>
        <v>6435754</v>
      </c>
      <c r="P44" s="49">
        <f>P41+P42+P43</f>
        <v>0</v>
      </c>
      <c r="Q44" s="81">
        <f>Q41+Q42+Q43</f>
        <v>12488</v>
      </c>
    </row>
    <row r="45" spans="5:17" ht="15.95" customHeight="1" x14ac:dyDescent="0.25">
      <c r="E45" s="45" t="s">
        <v>32</v>
      </c>
      <c r="F45" s="49">
        <f>SUM(G45:Q45)</f>
        <v>27034044</v>
      </c>
      <c r="G45" s="49">
        <v>105170</v>
      </c>
      <c r="H45" s="49">
        <v>4216060</v>
      </c>
      <c r="I45" s="49">
        <v>596</v>
      </c>
      <c r="J45" s="49">
        <v>7420215</v>
      </c>
      <c r="K45" s="49">
        <v>2201811</v>
      </c>
      <c r="L45" s="49">
        <v>1833357</v>
      </c>
      <c r="M45" s="80">
        <v>818216</v>
      </c>
      <c r="N45" s="80">
        <v>8687834</v>
      </c>
      <c r="O45" s="49">
        <v>1727009</v>
      </c>
      <c r="P45" s="83">
        <v>0</v>
      </c>
      <c r="Q45" s="81">
        <v>23776</v>
      </c>
    </row>
    <row r="46" spans="5:17" ht="15.95" customHeight="1" x14ac:dyDescent="0.25">
      <c r="E46" s="45" t="s">
        <v>41</v>
      </c>
      <c r="F46" s="49">
        <f>SUM(G46:Q46)</f>
        <v>26837597</v>
      </c>
      <c r="G46" s="49">
        <v>98248</v>
      </c>
      <c r="H46" s="49">
        <v>4459834</v>
      </c>
      <c r="I46" s="49">
        <v>2476</v>
      </c>
      <c r="J46" s="49">
        <v>8153175</v>
      </c>
      <c r="K46" s="49">
        <v>2038259</v>
      </c>
      <c r="L46" s="49">
        <v>1857719</v>
      </c>
      <c r="M46" s="80">
        <v>208690</v>
      </c>
      <c r="N46" s="80">
        <v>10006331</v>
      </c>
      <c r="O46" s="49">
        <v>0</v>
      </c>
      <c r="P46" s="83">
        <v>0</v>
      </c>
      <c r="Q46" s="81">
        <v>12865</v>
      </c>
    </row>
    <row r="47" spans="5:17" ht="15.95" customHeight="1" x14ac:dyDescent="0.25">
      <c r="E47" s="45" t="s">
        <v>34</v>
      </c>
      <c r="F47" s="49">
        <f>SUM(G47:Q47)</f>
        <v>26593412</v>
      </c>
      <c r="G47" s="49">
        <v>96996</v>
      </c>
      <c r="H47" s="49">
        <v>3914301</v>
      </c>
      <c r="I47" s="49">
        <v>0</v>
      </c>
      <c r="J47" s="49">
        <v>7938121</v>
      </c>
      <c r="K47" s="49">
        <v>2179881</v>
      </c>
      <c r="L47" s="49">
        <v>1977774</v>
      </c>
      <c r="M47" s="80">
        <v>229480</v>
      </c>
      <c r="N47" s="80">
        <v>8443046</v>
      </c>
      <c r="O47" s="49">
        <v>1806173</v>
      </c>
      <c r="P47" s="83">
        <v>0</v>
      </c>
      <c r="Q47" s="81">
        <v>7640</v>
      </c>
    </row>
    <row r="48" spans="5:17" ht="15.95" customHeight="1" x14ac:dyDescent="0.25">
      <c r="E48" s="45"/>
      <c r="F48" s="49">
        <f t="shared" ref="F48:P48" si="3">F45+F46+F47</f>
        <v>80465053</v>
      </c>
      <c r="G48" s="49">
        <f t="shared" si="3"/>
        <v>300414</v>
      </c>
      <c r="H48" s="49">
        <f t="shared" si="3"/>
        <v>12590195</v>
      </c>
      <c r="I48" s="49">
        <f t="shared" si="3"/>
        <v>3072</v>
      </c>
      <c r="J48" s="49">
        <f t="shared" si="3"/>
        <v>23511511</v>
      </c>
      <c r="K48" s="49">
        <f>K45+K46+K47</f>
        <v>6419951</v>
      </c>
      <c r="L48" s="49">
        <f t="shared" si="3"/>
        <v>5668850</v>
      </c>
      <c r="M48" s="80">
        <f>SUM(M45:M47)</f>
        <v>1256386</v>
      </c>
      <c r="N48" s="80">
        <f>SUM(N45:N47)</f>
        <v>27137211</v>
      </c>
      <c r="O48" s="49">
        <f t="shared" si="3"/>
        <v>3533182</v>
      </c>
      <c r="P48" s="49">
        <f t="shared" si="3"/>
        <v>0</v>
      </c>
      <c r="Q48" s="81">
        <f>Q45+Q46+Q47</f>
        <v>44281</v>
      </c>
    </row>
    <row r="49" spans="5:17" ht="15.95" customHeight="1" x14ac:dyDescent="0.25">
      <c r="E49" s="45" t="s">
        <v>35</v>
      </c>
      <c r="F49" s="49">
        <f>SUM(G49:Q49)</f>
        <v>26585816</v>
      </c>
      <c r="G49" s="49">
        <v>95102</v>
      </c>
      <c r="H49" s="49">
        <v>3396755</v>
      </c>
      <c r="I49" s="49">
        <v>501</v>
      </c>
      <c r="J49" s="49">
        <v>7596363</v>
      </c>
      <c r="K49" s="49">
        <v>2111665</v>
      </c>
      <c r="L49" s="49">
        <v>1758195</v>
      </c>
      <c r="M49" s="80">
        <v>256612</v>
      </c>
      <c r="N49" s="80">
        <v>8341338</v>
      </c>
      <c r="O49" s="49">
        <v>3010395</v>
      </c>
      <c r="P49" s="83">
        <v>0</v>
      </c>
      <c r="Q49" s="81">
        <v>18890</v>
      </c>
    </row>
    <row r="50" spans="5:17" ht="15.95" customHeight="1" x14ac:dyDescent="0.25">
      <c r="E50" s="45" t="s">
        <v>36</v>
      </c>
      <c r="F50" s="49">
        <f>SUM(G50:Q50)</f>
        <v>22525521</v>
      </c>
      <c r="G50" s="49">
        <v>90441</v>
      </c>
      <c r="H50" s="49">
        <v>3096549</v>
      </c>
      <c r="I50" s="49">
        <v>1992</v>
      </c>
      <c r="J50" s="49">
        <v>7130407</v>
      </c>
      <c r="K50" s="49">
        <v>1740278</v>
      </c>
      <c r="L50" s="49">
        <v>1473616</v>
      </c>
      <c r="M50" s="80">
        <v>190443</v>
      </c>
      <c r="N50" s="80">
        <v>7272839</v>
      </c>
      <c r="O50" s="49">
        <v>1516008</v>
      </c>
      <c r="P50" s="83">
        <v>0</v>
      </c>
      <c r="Q50" s="81">
        <v>12948</v>
      </c>
    </row>
    <row r="51" spans="5:17" ht="15.95" customHeight="1" x14ac:dyDescent="0.25">
      <c r="E51" s="45" t="s">
        <v>37</v>
      </c>
      <c r="F51" s="49">
        <f>SUM(G51:Q51)</f>
        <v>20987400</v>
      </c>
      <c r="G51" s="49">
        <v>81326</v>
      </c>
      <c r="H51" s="49">
        <v>2941415</v>
      </c>
      <c r="I51" s="49">
        <v>1061</v>
      </c>
      <c r="J51" s="49">
        <v>6293574</v>
      </c>
      <c r="K51" s="49">
        <v>2103436</v>
      </c>
      <c r="L51" s="49">
        <v>1407557</v>
      </c>
      <c r="M51" s="80">
        <v>175862</v>
      </c>
      <c r="N51" s="80">
        <v>6175293</v>
      </c>
      <c r="O51" s="49">
        <v>1734928</v>
      </c>
      <c r="P51" s="83">
        <v>0</v>
      </c>
      <c r="Q51" s="81">
        <v>72948</v>
      </c>
    </row>
    <row r="52" spans="5:17" ht="15.95" customHeight="1" x14ac:dyDescent="0.25">
      <c r="E52" s="45"/>
      <c r="F52" s="49">
        <f t="shared" ref="F52:P52" si="4">F49+F50+F51</f>
        <v>70098737</v>
      </c>
      <c r="G52" s="49">
        <f t="shared" si="4"/>
        <v>266869</v>
      </c>
      <c r="H52" s="49">
        <f t="shared" si="4"/>
        <v>9434719</v>
      </c>
      <c r="I52" s="49">
        <f t="shared" si="4"/>
        <v>3554</v>
      </c>
      <c r="J52" s="49">
        <f t="shared" si="4"/>
        <v>21020344</v>
      </c>
      <c r="K52" s="49">
        <f>K49+K50+K51</f>
        <v>5955379</v>
      </c>
      <c r="L52" s="49">
        <f t="shared" si="4"/>
        <v>4639368</v>
      </c>
      <c r="M52" s="80">
        <f>SUM(M49:M51)</f>
        <v>622917</v>
      </c>
      <c r="N52" s="82">
        <f>SUM(N49:N51)</f>
        <v>21789470</v>
      </c>
      <c r="O52" s="49">
        <f t="shared" si="4"/>
        <v>6261331</v>
      </c>
      <c r="P52" s="49">
        <f t="shared" si="4"/>
        <v>0</v>
      </c>
      <c r="Q52" s="81">
        <f>Q49+Q50+Q51</f>
        <v>104786</v>
      </c>
    </row>
    <row r="53" spans="5:17" ht="15.95" customHeight="1" x14ac:dyDescent="0.25">
      <c r="E53" s="70" t="s">
        <v>38</v>
      </c>
      <c r="F53" s="49">
        <f t="shared" ref="F53:P53" si="5">F37+F38+F39+F41+F42+F43+F45+F46+F47+F49+F50+F51</f>
        <v>291336373</v>
      </c>
      <c r="G53" s="49">
        <f t="shared" si="5"/>
        <v>1019749</v>
      </c>
      <c r="H53" s="49">
        <f t="shared" si="5"/>
        <v>41546064</v>
      </c>
      <c r="I53" s="49">
        <f t="shared" si="5"/>
        <v>12912</v>
      </c>
      <c r="J53" s="49">
        <f t="shared" si="5"/>
        <v>88170334</v>
      </c>
      <c r="K53" s="49">
        <f>K37+K38+K39+K41+K42+K43+K45+K46+K47+K49+K50+K51</f>
        <v>24017610</v>
      </c>
      <c r="L53" s="49">
        <f t="shared" si="5"/>
        <v>18874756</v>
      </c>
      <c r="M53" s="49">
        <f t="shared" si="5"/>
        <v>3355234</v>
      </c>
      <c r="N53" s="83">
        <f t="shared" si="5"/>
        <v>92497574</v>
      </c>
      <c r="O53" s="49">
        <f t="shared" si="5"/>
        <v>21673018</v>
      </c>
      <c r="P53" s="49">
        <f t="shared" si="5"/>
        <v>0</v>
      </c>
      <c r="Q53" s="81">
        <f>Q37+Q38+Q39+Q41+Q42+Q43+Q45+Q46+Q47+Q49+Q50+Q51</f>
        <v>169122</v>
      </c>
    </row>
    <row r="54" spans="5:17" ht="15.95" customHeight="1" thickBot="1" x14ac:dyDescent="0.3">
      <c r="E54" s="58"/>
      <c r="F54" s="26"/>
      <c r="G54" s="27"/>
      <c r="H54" s="27"/>
      <c r="I54" s="27"/>
      <c r="J54" s="27"/>
      <c r="K54" s="27"/>
      <c r="L54" s="27"/>
      <c r="M54" s="27"/>
      <c r="N54" s="28"/>
      <c r="O54" s="27"/>
      <c r="P54" s="28"/>
      <c r="Q54" s="67"/>
    </row>
    <row r="55" spans="5:17" ht="16.5" thickTop="1" x14ac:dyDescent="0.25">
      <c r="F55" s="59"/>
      <c r="G55" s="60"/>
      <c r="H55" s="60"/>
      <c r="I55" s="60"/>
      <c r="J55" s="60"/>
      <c r="K55" s="60"/>
      <c r="L55" s="60"/>
      <c r="M55" s="60"/>
      <c r="N55" s="60"/>
      <c r="O55" s="60"/>
      <c r="P55" s="37"/>
    </row>
    <row r="56" spans="5:17" ht="15.75" x14ac:dyDescent="0.25">
      <c r="E56" s="33" t="s">
        <v>23</v>
      </c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37"/>
    </row>
    <row r="57" spans="5:17" ht="15.75" x14ac:dyDescent="0.25">
      <c r="E57" s="61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37"/>
    </row>
    <row r="58" spans="5:17" ht="15.75" x14ac:dyDescent="0.25">
      <c r="F58" s="59"/>
      <c r="G58" s="60"/>
      <c r="H58" s="60"/>
      <c r="I58" s="60"/>
      <c r="J58" s="60"/>
      <c r="K58" s="60"/>
      <c r="L58" s="60"/>
      <c r="M58" s="60"/>
      <c r="N58" s="60"/>
      <c r="O58" s="60"/>
    </row>
    <row r="59" spans="5:17" ht="15.75" x14ac:dyDescent="0.25">
      <c r="F59" s="59"/>
      <c r="G59" s="60"/>
      <c r="H59" s="60"/>
      <c r="I59" s="60"/>
      <c r="J59" s="60"/>
      <c r="K59" s="60"/>
      <c r="L59" s="60"/>
      <c r="M59" s="60"/>
      <c r="N59" s="60"/>
      <c r="O59" s="60"/>
    </row>
    <row r="60" spans="5:17" ht="15.75" x14ac:dyDescent="0.25">
      <c r="F60" s="59"/>
      <c r="G60" s="60"/>
      <c r="H60" s="60"/>
      <c r="I60" s="60"/>
      <c r="J60" s="60"/>
      <c r="K60" s="60"/>
      <c r="L60" s="60"/>
      <c r="M60" s="60"/>
      <c r="N60" s="60"/>
      <c r="O60" s="60"/>
    </row>
    <row r="61" spans="5:17" ht="15.75" x14ac:dyDescent="0.25">
      <c r="F61" s="59"/>
      <c r="G61" s="60"/>
      <c r="H61" s="60"/>
      <c r="I61" s="60"/>
      <c r="J61" s="60"/>
      <c r="K61" s="60"/>
      <c r="L61" s="60"/>
      <c r="M61" s="60"/>
      <c r="N61" s="60"/>
      <c r="O61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syncVertical="1" syncRef="D1" transitionEvaluation="1"/>
  <dimension ref="A1:Q61"/>
  <sheetViews>
    <sheetView showGridLines="0" topLeftCell="D1" workbookViewId="0">
      <selection activeCell="E2" sqref="E2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22.85546875" style="1" bestFit="1" customWidth="1"/>
    <col min="11" max="11" width="21.140625" style="1" bestFit="1" customWidth="1"/>
    <col min="12" max="12" width="15" style="1" customWidth="1"/>
    <col min="13" max="13" width="14.5703125" style="1" customWidth="1"/>
    <col min="14" max="15" width="14.28515625" style="1" customWidth="1"/>
    <col min="16" max="17" width="14.140625" style="1" customWidth="1"/>
    <col min="18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22.85546875" style="1" bestFit="1" customWidth="1"/>
    <col min="267" max="267" width="21.140625" style="1" bestFit="1" customWidth="1"/>
    <col min="268" max="268" width="15" style="1" customWidth="1"/>
    <col min="269" max="269" width="14.5703125" style="1" customWidth="1"/>
    <col min="270" max="271" width="14.28515625" style="1" customWidth="1"/>
    <col min="272" max="273" width="14.140625" style="1" customWidth="1"/>
    <col min="274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22.85546875" style="1" bestFit="1" customWidth="1"/>
    <col min="523" max="523" width="21.140625" style="1" bestFit="1" customWidth="1"/>
    <col min="524" max="524" width="15" style="1" customWidth="1"/>
    <col min="525" max="525" width="14.5703125" style="1" customWidth="1"/>
    <col min="526" max="527" width="14.28515625" style="1" customWidth="1"/>
    <col min="528" max="529" width="14.140625" style="1" customWidth="1"/>
    <col min="530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22.85546875" style="1" bestFit="1" customWidth="1"/>
    <col min="779" max="779" width="21.140625" style="1" bestFit="1" customWidth="1"/>
    <col min="780" max="780" width="15" style="1" customWidth="1"/>
    <col min="781" max="781" width="14.5703125" style="1" customWidth="1"/>
    <col min="782" max="783" width="14.28515625" style="1" customWidth="1"/>
    <col min="784" max="785" width="14.140625" style="1" customWidth="1"/>
    <col min="786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22.85546875" style="1" bestFit="1" customWidth="1"/>
    <col min="1035" max="1035" width="21.140625" style="1" bestFit="1" customWidth="1"/>
    <col min="1036" max="1036" width="15" style="1" customWidth="1"/>
    <col min="1037" max="1037" width="14.5703125" style="1" customWidth="1"/>
    <col min="1038" max="1039" width="14.28515625" style="1" customWidth="1"/>
    <col min="1040" max="1041" width="14.140625" style="1" customWidth="1"/>
    <col min="1042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22.85546875" style="1" bestFit="1" customWidth="1"/>
    <col min="1291" max="1291" width="21.140625" style="1" bestFit="1" customWidth="1"/>
    <col min="1292" max="1292" width="15" style="1" customWidth="1"/>
    <col min="1293" max="1293" width="14.5703125" style="1" customWidth="1"/>
    <col min="1294" max="1295" width="14.28515625" style="1" customWidth="1"/>
    <col min="1296" max="1297" width="14.140625" style="1" customWidth="1"/>
    <col min="1298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22.85546875" style="1" bestFit="1" customWidth="1"/>
    <col min="1547" max="1547" width="21.140625" style="1" bestFit="1" customWidth="1"/>
    <col min="1548" max="1548" width="15" style="1" customWidth="1"/>
    <col min="1549" max="1549" width="14.5703125" style="1" customWidth="1"/>
    <col min="1550" max="1551" width="14.28515625" style="1" customWidth="1"/>
    <col min="1552" max="1553" width="14.140625" style="1" customWidth="1"/>
    <col min="1554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22.85546875" style="1" bestFit="1" customWidth="1"/>
    <col min="1803" max="1803" width="21.140625" style="1" bestFit="1" customWidth="1"/>
    <col min="1804" max="1804" width="15" style="1" customWidth="1"/>
    <col min="1805" max="1805" width="14.5703125" style="1" customWidth="1"/>
    <col min="1806" max="1807" width="14.28515625" style="1" customWidth="1"/>
    <col min="1808" max="1809" width="14.140625" style="1" customWidth="1"/>
    <col min="1810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22.85546875" style="1" bestFit="1" customWidth="1"/>
    <col min="2059" max="2059" width="21.140625" style="1" bestFit="1" customWidth="1"/>
    <col min="2060" max="2060" width="15" style="1" customWidth="1"/>
    <col min="2061" max="2061" width="14.5703125" style="1" customWidth="1"/>
    <col min="2062" max="2063" width="14.28515625" style="1" customWidth="1"/>
    <col min="2064" max="2065" width="14.140625" style="1" customWidth="1"/>
    <col min="2066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22.85546875" style="1" bestFit="1" customWidth="1"/>
    <col min="2315" max="2315" width="21.140625" style="1" bestFit="1" customWidth="1"/>
    <col min="2316" max="2316" width="15" style="1" customWidth="1"/>
    <col min="2317" max="2317" width="14.5703125" style="1" customWidth="1"/>
    <col min="2318" max="2319" width="14.28515625" style="1" customWidth="1"/>
    <col min="2320" max="2321" width="14.140625" style="1" customWidth="1"/>
    <col min="2322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22.85546875" style="1" bestFit="1" customWidth="1"/>
    <col min="2571" max="2571" width="21.140625" style="1" bestFit="1" customWidth="1"/>
    <col min="2572" max="2572" width="15" style="1" customWidth="1"/>
    <col min="2573" max="2573" width="14.5703125" style="1" customWidth="1"/>
    <col min="2574" max="2575" width="14.28515625" style="1" customWidth="1"/>
    <col min="2576" max="2577" width="14.140625" style="1" customWidth="1"/>
    <col min="2578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22.85546875" style="1" bestFit="1" customWidth="1"/>
    <col min="2827" max="2827" width="21.140625" style="1" bestFit="1" customWidth="1"/>
    <col min="2828" max="2828" width="15" style="1" customWidth="1"/>
    <col min="2829" max="2829" width="14.5703125" style="1" customWidth="1"/>
    <col min="2830" max="2831" width="14.28515625" style="1" customWidth="1"/>
    <col min="2832" max="2833" width="14.140625" style="1" customWidth="1"/>
    <col min="2834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22.85546875" style="1" bestFit="1" customWidth="1"/>
    <col min="3083" max="3083" width="21.140625" style="1" bestFit="1" customWidth="1"/>
    <col min="3084" max="3084" width="15" style="1" customWidth="1"/>
    <col min="3085" max="3085" width="14.5703125" style="1" customWidth="1"/>
    <col min="3086" max="3087" width="14.28515625" style="1" customWidth="1"/>
    <col min="3088" max="3089" width="14.140625" style="1" customWidth="1"/>
    <col min="3090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22.85546875" style="1" bestFit="1" customWidth="1"/>
    <col min="3339" max="3339" width="21.140625" style="1" bestFit="1" customWidth="1"/>
    <col min="3340" max="3340" width="15" style="1" customWidth="1"/>
    <col min="3341" max="3341" width="14.5703125" style="1" customWidth="1"/>
    <col min="3342" max="3343" width="14.28515625" style="1" customWidth="1"/>
    <col min="3344" max="3345" width="14.140625" style="1" customWidth="1"/>
    <col min="3346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22.85546875" style="1" bestFit="1" customWidth="1"/>
    <col min="3595" max="3595" width="21.140625" style="1" bestFit="1" customWidth="1"/>
    <col min="3596" max="3596" width="15" style="1" customWidth="1"/>
    <col min="3597" max="3597" width="14.5703125" style="1" customWidth="1"/>
    <col min="3598" max="3599" width="14.28515625" style="1" customWidth="1"/>
    <col min="3600" max="3601" width="14.140625" style="1" customWidth="1"/>
    <col min="3602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22.85546875" style="1" bestFit="1" customWidth="1"/>
    <col min="3851" max="3851" width="21.140625" style="1" bestFit="1" customWidth="1"/>
    <col min="3852" max="3852" width="15" style="1" customWidth="1"/>
    <col min="3853" max="3853" width="14.5703125" style="1" customWidth="1"/>
    <col min="3854" max="3855" width="14.28515625" style="1" customWidth="1"/>
    <col min="3856" max="3857" width="14.140625" style="1" customWidth="1"/>
    <col min="3858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22.85546875" style="1" bestFit="1" customWidth="1"/>
    <col min="4107" max="4107" width="21.140625" style="1" bestFit="1" customWidth="1"/>
    <col min="4108" max="4108" width="15" style="1" customWidth="1"/>
    <col min="4109" max="4109" width="14.5703125" style="1" customWidth="1"/>
    <col min="4110" max="4111" width="14.28515625" style="1" customWidth="1"/>
    <col min="4112" max="4113" width="14.140625" style="1" customWidth="1"/>
    <col min="4114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22.85546875" style="1" bestFit="1" customWidth="1"/>
    <col min="4363" max="4363" width="21.140625" style="1" bestFit="1" customWidth="1"/>
    <col min="4364" max="4364" width="15" style="1" customWidth="1"/>
    <col min="4365" max="4365" width="14.5703125" style="1" customWidth="1"/>
    <col min="4366" max="4367" width="14.28515625" style="1" customWidth="1"/>
    <col min="4368" max="4369" width="14.140625" style="1" customWidth="1"/>
    <col min="4370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22.85546875" style="1" bestFit="1" customWidth="1"/>
    <col min="4619" max="4619" width="21.140625" style="1" bestFit="1" customWidth="1"/>
    <col min="4620" max="4620" width="15" style="1" customWidth="1"/>
    <col min="4621" max="4621" width="14.5703125" style="1" customWidth="1"/>
    <col min="4622" max="4623" width="14.28515625" style="1" customWidth="1"/>
    <col min="4624" max="4625" width="14.140625" style="1" customWidth="1"/>
    <col min="4626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22.85546875" style="1" bestFit="1" customWidth="1"/>
    <col min="4875" max="4875" width="21.140625" style="1" bestFit="1" customWidth="1"/>
    <col min="4876" max="4876" width="15" style="1" customWidth="1"/>
    <col min="4877" max="4877" width="14.5703125" style="1" customWidth="1"/>
    <col min="4878" max="4879" width="14.28515625" style="1" customWidth="1"/>
    <col min="4880" max="4881" width="14.140625" style="1" customWidth="1"/>
    <col min="4882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22.85546875" style="1" bestFit="1" customWidth="1"/>
    <col min="5131" max="5131" width="21.140625" style="1" bestFit="1" customWidth="1"/>
    <col min="5132" max="5132" width="15" style="1" customWidth="1"/>
    <col min="5133" max="5133" width="14.5703125" style="1" customWidth="1"/>
    <col min="5134" max="5135" width="14.28515625" style="1" customWidth="1"/>
    <col min="5136" max="5137" width="14.140625" style="1" customWidth="1"/>
    <col min="5138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22.85546875" style="1" bestFit="1" customWidth="1"/>
    <col min="5387" max="5387" width="21.140625" style="1" bestFit="1" customWidth="1"/>
    <col min="5388" max="5388" width="15" style="1" customWidth="1"/>
    <col min="5389" max="5389" width="14.5703125" style="1" customWidth="1"/>
    <col min="5390" max="5391" width="14.28515625" style="1" customWidth="1"/>
    <col min="5392" max="5393" width="14.140625" style="1" customWidth="1"/>
    <col min="5394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22.85546875" style="1" bestFit="1" customWidth="1"/>
    <col min="5643" max="5643" width="21.140625" style="1" bestFit="1" customWidth="1"/>
    <col min="5644" max="5644" width="15" style="1" customWidth="1"/>
    <col min="5645" max="5645" width="14.5703125" style="1" customWidth="1"/>
    <col min="5646" max="5647" width="14.28515625" style="1" customWidth="1"/>
    <col min="5648" max="5649" width="14.140625" style="1" customWidth="1"/>
    <col min="5650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22.85546875" style="1" bestFit="1" customWidth="1"/>
    <col min="5899" max="5899" width="21.140625" style="1" bestFit="1" customWidth="1"/>
    <col min="5900" max="5900" width="15" style="1" customWidth="1"/>
    <col min="5901" max="5901" width="14.5703125" style="1" customWidth="1"/>
    <col min="5902" max="5903" width="14.28515625" style="1" customWidth="1"/>
    <col min="5904" max="5905" width="14.140625" style="1" customWidth="1"/>
    <col min="5906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22.85546875" style="1" bestFit="1" customWidth="1"/>
    <col min="6155" max="6155" width="21.140625" style="1" bestFit="1" customWidth="1"/>
    <col min="6156" max="6156" width="15" style="1" customWidth="1"/>
    <col min="6157" max="6157" width="14.5703125" style="1" customWidth="1"/>
    <col min="6158" max="6159" width="14.28515625" style="1" customWidth="1"/>
    <col min="6160" max="6161" width="14.140625" style="1" customWidth="1"/>
    <col min="6162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22.85546875" style="1" bestFit="1" customWidth="1"/>
    <col min="6411" max="6411" width="21.140625" style="1" bestFit="1" customWidth="1"/>
    <col min="6412" max="6412" width="15" style="1" customWidth="1"/>
    <col min="6413" max="6413" width="14.5703125" style="1" customWidth="1"/>
    <col min="6414" max="6415" width="14.28515625" style="1" customWidth="1"/>
    <col min="6416" max="6417" width="14.140625" style="1" customWidth="1"/>
    <col min="6418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22.85546875" style="1" bestFit="1" customWidth="1"/>
    <col min="6667" max="6667" width="21.140625" style="1" bestFit="1" customWidth="1"/>
    <col min="6668" max="6668" width="15" style="1" customWidth="1"/>
    <col min="6669" max="6669" width="14.5703125" style="1" customWidth="1"/>
    <col min="6670" max="6671" width="14.28515625" style="1" customWidth="1"/>
    <col min="6672" max="6673" width="14.140625" style="1" customWidth="1"/>
    <col min="6674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22.85546875" style="1" bestFit="1" customWidth="1"/>
    <col min="6923" max="6923" width="21.140625" style="1" bestFit="1" customWidth="1"/>
    <col min="6924" max="6924" width="15" style="1" customWidth="1"/>
    <col min="6925" max="6925" width="14.5703125" style="1" customWidth="1"/>
    <col min="6926" max="6927" width="14.28515625" style="1" customWidth="1"/>
    <col min="6928" max="6929" width="14.140625" style="1" customWidth="1"/>
    <col min="6930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22.85546875" style="1" bestFit="1" customWidth="1"/>
    <col min="7179" max="7179" width="21.140625" style="1" bestFit="1" customWidth="1"/>
    <col min="7180" max="7180" width="15" style="1" customWidth="1"/>
    <col min="7181" max="7181" width="14.5703125" style="1" customWidth="1"/>
    <col min="7182" max="7183" width="14.28515625" style="1" customWidth="1"/>
    <col min="7184" max="7185" width="14.140625" style="1" customWidth="1"/>
    <col min="7186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22.85546875" style="1" bestFit="1" customWidth="1"/>
    <col min="7435" max="7435" width="21.140625" style="1" bestFit="1" customWidth="1"/>
    <col min="7436" max="7436" width="15" style="1" customWidth="1"/>
    <col min="7437" max="7437" width="14.5703125" style="1" customWidth="1"/>
    <col min="7438" max="7439" width="14.28515625" style="1" customWidth="1"/>
    <col min="7440" max="7441" width="14.140625" style="1" customWidth="1"/>
    <col min="7442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22.85546875" style="1" bestFit="1" customWidth="1"/>
    <col min="7691" max="7691" width="21.140625" style="1" bestFit="1" customWidth="1"/>
    <col min="7692" max="7692" width="15" style="1" customWidth="1"/>
    <col min="7693" max="7693" width="14.5703125" style="1" customWidth="1"/>
    <col min="7694" max="7695" width="14.28515625" style="1" customWidth="1"/>
    <col min="7696" max="7697" width="14.140625" style="1" customWidth="1"/>
    <col min="7698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22.85546875" style="1" bestFit="1" customWidth="1"/>
    <col min="7947" max="7947" width="21.140625" style="1" bestFit="1" customWidth="1"/>
    <col min="7948" max="7948" width="15" style="1" customWidth="1"/>
    <col min="7949" max="7949" width="14.5703125" style="1" customWidth="1"/>
    <col min="7950" max="7951" width="14.28515625" style="1" customWidth="1"/>
    <col min="7952" max="7953" width="14.140625" style="1" customWidth="1"/>
    <col min="7954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22.85546875" style="1" bestFit="1" customWidth="1"/>
    <col min="8203" max="8203" width="21.140625" style="1" bestFit="1" customWidth="1"/>
    <col min="8204" max="8204" width="15" style="1" customWidth="1"/>
    <col min="8205" max="8205" width="14.5703125" style="1" customWidth="1"/>
    <col min="8206" max="8207" width="14.28515625" style="1" customWidth="1"/>
    <col min="8208" max="8209" width="14.140625" style="1" customWidth="1"/>
    <col min="8210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22.85546875" style="1" bestFit="1" customWidth="1"/>
    <col min="8459" max="8459" width="21.140625" style="1" bestFit="1" customWidth="1"/>
    <col min="8460" max="8460" width="15" style="1" customWidth="1"/>
    <col min="8461" max="8461" width="14.5703125" style="1" customWidth="1"/>
    <col min="8462" max="8463" width="14.28515625" style="1" customWidth="1"/>
    <col min="8464" max="8465" width="14.140625" style="1" customWidth="1"/>
    <col min="8466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22.85546875" style="1" bestFit="1" customWidth="1"/>
    <col min="8715" max="8715" width="21.140625" style="1" bestFit="1" customWidth="1"/>
    <col min="8716" max="8716" width="15" style="1" customWidth="1"/>
    <col min="8717" max="8717" width="14.5703125" style="1" customWidth="1"/>
    <col min="8718" max="8719" width="14.28515625" style="1" customWidth="1"/>
    <col min="8720" max="8721" width="14.140625" style="1" customWidth="1"/>
    <col min="8722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22.85546875" style="1" bestFit="1" customWidth="1"/>
    <col min="8971" max="8971" width="21.140625" style="1" bestFit="1" customWidth="1"/>
    <col min="8972" max="8972" width="15" style="1" customWidth="1"/>
    <col min="8973" max="8973" width="14.5703125" style="1" customWidth="1"/>
    <col min="8974" max="8975" width="14.28515625" style="1" customWidth="1"/>
    <col min="8976" max="8977" width="14.140625" style="1" customWidth="1"/>
    <col min="8978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22.85546875" style="1" bestFit="1" customWidth="1"/>
    <col min="9227" max="9227" width="21.140625" style="1" bestFit="1" customWidth="1"/>
    <col min="9228" max="9228" width="15" style="1" customWidth="1"/>
    <col min="9229" max="9229" width="14.5703125" style="1" customWidth="1"/>
    <col min="9230" max="9231" width="14.28515625" style="1" customWidth="1"/>
    <col min="9232" max="9233" width="14.140625" style="1" customWidth="1"/>
    <col min="9234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22.85546875" style="1" bestFit="1" customWidth="1"/>
    <col min="9483" max="9483" width="21.140625" style="1" bestFit="1" customWidth="1"/>
    <col min="9484" max="9484" width="15" style="1" customWidth="1"/>
    <col min="9485" max="9485" width="14.5703125" style="1" customWidth="1"/>
    <col min="9486" max="9487" width="14.28515625" style="1" customWidth="1"/>
    <col min="9488" max="9489" width="14.140625" style="1" customWidth="1"/>
    <col min="9490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22.85546875" style="1" bestFit="1" customWidth="1"/>
    <col min="9739" max="9739" width="21.140625" style="1" bestFit="1" customWidth="1"/>
    <col min="9740" max="9740" width="15" style="1" customWidth="1"/>
    <col min="9741" max="9741" width="14.5703125" style="1" customWidth="1"/>
    <col min="9742" max="9743" width="14.28515625" style="1" customWidth="1"/>
    <col min="9744" max="9745" width="14.140625" style="1" customWidth="1"/>
    <col min="9746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22.85546875" style="1" bestFit="1" customWidth="1"/>
    <col min="9995" max="9995" width="21.140625" style="1" bestFit="1" customWidth="1"/>
    <col min="9996" max="9996" width="15" style="1" customWidth="1"/>
    <col min="9997" max="9997" width="14.5703125" style="1" customWidth="1"/>
    <col min="9998" max="9999" width="14.28515625" style="1" customWidth="1"/>
    <col min="10000" max="10001" width="14.140625" style="1" customWidth="1"/>
    <col min="10002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22.85546875" style="1" bestFit="1" customWidth="1"/>
    <col min="10251" max="10251" width="21.140625" style="1" bestFit="1" customWidth="1"/>
    <col min="10252" max="10252" width="15" style="1" customWidth="1"/>
    <col min="10253" max="10253" width="14.5703125" style="1" customWidth="1"/>
    <col min="10254" max="10255" width="14.28515625" style="1" customWidth="1"/>
    <col min="10256" max="10257" width="14.140625" style="1" customWidth="1"/>
    <col min="10258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22.85546875" style="1" bestFit="1" customWidth="1"/>
    <col min="10507" max="10507" width="21.140625" style="1" bestFit="1" customWidth="1"/>
    <col min="10508" max="10508" width="15" style="1" customWidth="1"/>
    <col min="10509" max="10509" width="14.5703125" style="1" customWidth="1"/>
    <col min="10510" max="10511" width="14.28515625" style="1" customWidth="1"/>
    <col min="10512" max="10513" width="14.140625" style="1" customWidth="1"/>
    <col min="10514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22.85546875" style="1" bestFit="1" customWidth="1"/>
    <col min="10763" max="10763" width="21.140625" style="1" bestFit="1" customWidth="1"/>
    <col min="10764" max="10764" width="15" style="1" customWidth="1"/>
    <col min="10765" max="10765" width="14.5703125" style="1" customWidth="1"/>
    <col min="10766" max="10767" width="14.28515625" style="1" customWidth="1"/>
    <col min="10768" max="10769" width="14.140625" style="1" customWidth="1"/>
    <col min="10770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22.85546875" style="1" bestFit="1" customWidth="1"/>
    <col min="11019" max="11019" width="21.140625" style="1" bestFit="1" customWidth="1"/>
    <col min="11020" max="11020" width="15" style="1" customWidth="1"/>
    <col min="11021" max="11021" width="14.5703125" style="1" customWidth="1"/>
    <col min="11022" max="11023" width="14.28515625" style="1" customWidth="1"/>
    <col min="11024" max="11025" width="14.140625" style="1" customWidth="1"/>
    <col min="11026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22.85546875" style="1" bestFit="1" customWidth="1"/>
    <col min="11275" max="11275" width="21.140625" style="1" bestFit="1" customWidth="1"/>
    <col min="11276" max="11276" width="15" style="1" customWidth="1"/>
    <col min="11277" max="11277" width="14.5703125" style="1" customWidth="1"/>
    <col min="11278" max="11279" width="14.28515625" style="1" customWidth="1"/>
    <col min="11280" max="11281" width="14.140625" style="1" customWidth="1"/>
    <col min="11282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22.85546875" style="1" bestFit="1" customWidth="1"/>
    <col min="11531" max="11531" width="21.140625" style="1" bestFit="1" customWidth="1"/>
    <col min="11532" max="11532" width="15" style="1" customWidth="1"/>
    <col min="11533" max="11533" width="14.5703125" style="1" customWidth="1"/>
    <col min="11534" max="11535" width="14.28515625" style="1" customWidth="1"/>
    <col min="11536" max="11537" width="14.140625" style="1" customWidth="1"/>
    <col min="11538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22.85546875" style="1" bestFit="1" customWidth="1"/>
    <col min="11787" max="11787" width="21.140625" style="1" bestFit="1" customWidth="1"/>
    <col min="11788" max="11788" width="15" style="1" customWidth="1"/>
    <col min="11789" max="11789" width="14.5703125" style="1" customWidth="1"/>
    <col min="11790" max="11791" width="14.28515625" style="1" customWidth="1"/>
    <col min="11792" max="11793" width="14.140625" style="1" customWidth="1"/>
    <col min="11794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22.85546875" style="1" bestFit="1" customWidth="1"/>
    <col min="12043" max="12043" width="21.140625" style="1" bestFit="1" customWidth="1"/>
    <col min="12044" max="12044" width="15" style="1" customWidth="1"/>
    <col min="12045" max="12045" width="14.5703125" style="1" customWidth="1"/>
    <col min="12046" max="12047" width="14.28515625" style="1" customWidth="1"/>
    <col min="12048" max="12049" width="14.140625" style="1" customWidth="1"/>
    <col min="12050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22.85546875" style="1" bestFit="1" customWidth="1"/>
    <col min="12299" max="12299" width="21.140625" style="1" bestFit="1" customWidth="1"/>
    <col min="12300" max="12300" width="15" style="1" customWidth="1"/>
    <col min="12301" max="12301" width="14.5703125" style="1" customWidth="1"/>
    <col min="12302" max="12303" width="14.28515625" style="1" customWidth="1"/>
    <col min="12304" max="12305" width="14.140625" style="1" customWidth="1"/>
    <col min="12306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22.85546875" style="1" bestFit="1" customWidth="1"/>
    <col min="12555" max="12555" width="21.140625" style="1" bestFit="1" customWidth="1"/>
    <col min="12556" max="12556" width="15" style="1" customWidth="1"/>
    <col min="12557" max="12557" width="14.5703125" style="1" customWidth="1"/>
    <col min="12558" max="12559" width="14.28515625" style="1" customWidth="1"/>
    <col min="12560" max="12561" width="14.140625" style="1" customWidth="1"/>
    <col min="12562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22.85546875" style="1" bestFit="1" customWidth="1"/>
    <col min="12811" max="12811" width="21.140625" style="1" bestFit="1" customWidth="1"/>
    <col min="12812" max="12812" width="15" style="1" customWidth="1"/>
    <col min="12813" max="12813" width="14.5703125" style="1" customWidth="1"/>
    <col min="12814" max="12815" width="14.28515625" style="1" customWidth="1"/>
    <col min="12816" max="12817" width="14.140625" style="1" customWidth="1"/>
    <col min="12818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22.85546875" style="1" bestFit="1" customWidth="1"/>
    <col min="13067" max="13067" width="21.140625" style="1" bestFit="1" customWidth="1"/>
    <col min="13068" max="13068" width="15" style="1" customWidth="1"/>
    <col min="13069" max="13069" width="14.5703125" style="1" customWidth="1"/>
    <col min="13070" max="13071" width="14.28515625" style="1" customWidth="1"/>
    <col min="13072" max="13073" width="14.140625" style="1" customWidth="1"/>
    <col min="13074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22.85546875" style="1" bestFit="1" customWidth="1"/>
    <col min="13323" max="13323" width="21.140625" style="1" bestFit="1" customWidth="1"/>
    <col min="13324" max="13324" width="15" style="1" customWidth="1"/>
    <col min="13325" max="13325" width="14.5703125" style="1" customWidth="1"/>
    <col min="13326" max="13327" width="14.28515625" style="1" customWidth="1"/>
    <col min="13328" max="13329" width="14.140625" style="1" customWidth="1"/>
    <col min="13330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22.85546875" style="1" bestFit="1" customWidth="1"/>
    <col min="13579" max="13579" width="21.140625" style="1" bestFit="1" customWidth="1"/>
    <col min="13580" max="13580" width="15" style="1" customWidth="1"/>
    <col min="13581" max="13581" width="14.5703125" style="1" customWidth="1"/>
    <col min="13582" max="13583" width="14.28515625" style="1" customWidth="1"/>
    <col min="13584" max="13585" width="14.140625" style="1" customWidth="1"/>
    <col min="13586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22.85546875" style="1" bestFit="1" customWidth="1"/>
    <col min="13835" max="13835" width="21.140625" style="1" bestFit="1" customWidth="1"/>
    <col min="13836" max="13836" width="15" style="1" customWidth="1"/>
    <col min="13837" max="13837" width="14.5703125" style="1" customWidth="1"/>
    <col min="13838" max="13839" width="14.28515625" style="1" customWidth="1"/>
    <col min="13840" max="13841" width="14.140625" style="1" customWidth="1"/>
    <col min="13842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22.85546875" style="1" bestFit="1" customWidth="1"/>
    <col min="14091" max="14091" width="21.140625" style="1" bestFit="1" customWidth="1"/>
    <col min="14092" max="14092" width="15" style="1" customWidth="1"/>
    <col min="14093" max="14093" width="14.5703125" style="1" customWidth="1"/>
    <col min="14094" max="14095" width="14.28515625" style="1" customWidth="1"/>
    <col min="14096" max="14097" width="14.140625" style="1" customWidth="1"/>
    <col min="14098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22.85546875" style="1" bestFit="1" customWidth="1"/>
    <col min="14347" max="14347" width="21.140625" style="1" bestFit="1" customWidth="1"/>
    <col min="14348" max="14348" width="15" style="1" customWidth="1"/>
    <col min="14349" max="14349" width="14.5703125" style="1" customWidth="1"/>
    <col min="14350" max="14351" width="14.28515625" style="1" customWidth="1"/>
    <col min="14352" max="14353" width="14.140625" style="1" customWidth="1"/>
    <col min="14354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22.85546875" style="1" bestFit="1" customWidth="1"/>
    <col min="14603" max="14603" width="21.140625" style="1" bestFit="1" customWidth="1"/>
    <col min="14604" max="14604" width="15" style="1" customWidth="1"/>
    <col min="14605" max="14605" width="14.5703125" style="1" customWidth="1"/>
    <col min="14606" max="14607" width="14.28515625" style="1" customWidth="1"/>
    <col min="14608" max="14609" width="14.140625" style="1" customWidth="1"/>
    <col min="14610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22.85546875" style="1" bestFit="1" customWidth="1"/>
    <col min="14859" max="14859" width="21.140625" style="1" bestFit="1" customWidth="1"/>
    <col min="14860" max="14860" width="15" style="1" customWidth="1"/>
    <col min="14861" max="14861" width="14.5703125" style="1" customWidth="1"/>
    <col min="14862" max="14863" width="14.28515625" style="1" customWidth="1"/>
    <col min="14864" max="14865" width="14.140625" style="1" customWidth="1"/>
    <col min="14866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22.85546875" style="1" bestFit="1" customWidth="1"/>
    <col min="15115" max="15115" width="21.140625" style="1" bestFit="1" customWidth="1"/>
    <col min="15116" max="15116" width="15" style="1" customWidth="1"/>
    <col min="15117" max="15117" width="14.5703125" style="1" customWidth="1"/>
    <col min="15118" max="15119" width="14.28515625" style="1" customWidth="1"/>
    <col min="15120" max="15121" width="14.140625" style="1" customWidth="1"/>
    <col min="15122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22.85546875" style="1" bestFit="1" customWidth="1"/>
    <col min="15371" max="15371" width="21.140625" style="1" bestFit="1" customWidth="1"/>
    <col min="15372" max="15372" width="15" style="1" customWidth="1"/>
    <col min="15373" max="15373" width="14.5703125" style="1" customWidth="1"/>
    <col min="15374" max="15375" width="14.28515625" style="1" customWidth="1"/>
    <col min="15376" max="15377" width="14.140625" style="1" customWidth="1"/>
    <col min="15378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22.85546875" style="1" bestFit="1" customWidth="1"/>
    <col min="15627" max="15627" width="21.140625" style="1" bestFit="1" customWidth="1"/>
    <col min="15628" max="15628" width="15" style="1" customWidth="1"/>
    <col min="15629" max="15629" width="14.5703125" style="1" customWidth="1"/>
    <col min="15630" max="15631" width="14.28515625" style="1" customWidth="1"/>
    <col min="15632" max="15633" width="14.140625" style="1" customWidth="1"/>
    <col min="15634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22.85546875" style="1" bestFit="1" customWidth="1"/>
    <col min="15883" max="15883" width="21.140625" style="1" bestFit="1" customWidth="1"/>
    <col min="15884" max="15884" width="15" style="1" customWidth="1"/>
    <col min="15885" max="15885" width="14.5703125" style="1" customWidth="1"/>
    <col min="15886" max="15887" width="14.28515625" style="1" customWidth="1"/>
    <col min="15888" max="15889" width="14.140625" style="1" customWidth="1"/>
    <col min="15890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22.85546875" style="1" bestFit="1" customWidth="1"/>
    <col min="16139" max="16139" width="21.140625" style="1" bestFit="1" customWidth="1"/>
    <col min="16140" max="16140" width="15" style="1" customWidth="1"/>
    <col min="16141" max="16141" width="14.5703125" style="1" customWidth="1"/>
    <col min="16142" max="16143" width="14.28515625" style="1" customWidth="1"/>
    <col min="16144" max="16145" width="14.140625" style="1" customWidth="1"/>
    <col min="16146" max="16384" width="21.5703125" style="1"/>
  </cols>
  <sheetData>
    <row r="1" spans="2:17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2"/>
      <c r="P1" s="2"/>
      <c r="Q1" s="72"/>
    </row>
    <row r="2" spans="2:17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2"/>
      <c r="P2" s="2"/>
    </row>
    <row r="3" spans="2:17" ht="15.75" x14ac:dyDescent="0.25">
      <c r="E3" s="77">
        <v>2018</v>
      </c>
      <c r="F3" s="3"/>
      <c r="G3" s="3"/>
      <c r="H3" s="7"/>
      <c r="I3" s="3"/>
      <c r="J3" s="7"/>
      <c r="K3" s="7"/>
      <c r="L3" s="7"/>
      <c r="M3" s="7"/>
      <c r="N3" s="7"/>
      <c r="O3" s="7"/>
      <c r="P3" s="7"/>
    </row>
    <row r="4" spans="2:17" ht="16.5" thickBot="1" x14ac:dyDescent="0.3">
      <c r="F4" s="5"/>
      <c r="G4" s="9"/>
      <c r="H4" s="9"/>
      <c r="I4" s="9"/>
      <c r="J4" s="9"/>
      <c r="K4" s="9"/>
      <c r="L4" s="9"/>
      <c r="M4" s="9"/>
      <c r="N4" s="9"/>
      <c r="Q4" s="76" t="s">
        <v>54</v>
      </c>
    </row>
    <row r="5" spans="2:17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61</v>
      </c>
      <c r="K5" s="12" t="s">
        <v>60</v>
      </c>
      <c r="L5" s="12" t="s">
        <v>8</v>
      </c>
      <c r="M5" s="12" t="s">
        <v>9</v>
      </c>
      <c r="N5" s="12" t="s">
        <v>10</v>
      </c>
      <c r="O5" s="12" t="s">
        <v>11</v>
      </c>
      <c r="P5" s="13" t="s">
        <v>59</v>
      </c>
      <c r="Q5" s="63" t="s">
        <v>56</v>
      </c>
    </row>
    <row r="6" spans="2:17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8"/>
      <c r="Q6" s="64"/>
    </row>
    <row r="7" spans="2:17" ht="15.75" x14ac:dyDescent="0.25">
      <c r="E7" s="20" t="s">
        <v>13</v>
      </c>
      <c r="F7" s="16">
        <f>G7+H7+I7+J7+K7+L7+M7+N7+O7+P7+Q7</f>
        <v>144631959</v>
      </c>
      <c r="G7" s="16">
        <v>760024</v>
      </c>
      <c r="H7" s="16">
        <v>24168655</v>
      </c>
      <c r="I7" s="16">
        <v>1668</v>
      </c>
      <c r="J7" s="16">
        <v>47597215</v>
      </c>
      <c r="K7" s="16">
        <v>12901216</v>
      </c>
      <c r="L7" s="16">
        <v>405855</v>
      </c>
      <c r="M7" s="16">
        <v>1098346</v>
      </c>
      <c r="N7" s="16">
        <v>45192755</v>
      </c>
      <c r="O7" s="16">
        <v>12470413</v>
      </c>
      <c r="P7" s="16">
        <v>0</v>
      </c>
      <c r="Q7" s="66">
        <v>35812</v>
      </c>
    </row>
    <row r="8" spans="2:17" ht="15.75" x14ac:dyDescent="0.25"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66"/>
    </row>
    <row r="9" spans="2:17" ht="15.75" x14ac:dyDescent="0.25">
      <c r="E9" s="20" t="s">
        <v>14</v>
      </c>
      <c r="F9" s="16">
        <f>G9+H9+I9+J9+K9+L9+M9+N9+O9+P9+Q9</f>
        <v>8271213</v>
      </c>
      <c r="G9" s="16">
        <v>4640</v>
      </c>
      <c r="H9" s="16">
        <v>1314889</v>
      </c>
      <c r="I9" s="16">
        <v>16362</v>
      </c>
      <c r="J9" s="16">
        <v>1511580</v>
      </c>
      <c r="K9" s="16">
        <v>489189</v>
      </c>
      <c r="L9" s="16">
        <v>4876552</v>
      </c>
      <c r="M9" s="16">
        <v>0</v>
      </c>
      <c r="N9" s="16">
        <v>0</v>
      </c>
      <c r="O9" s="16">
        <v>0</v>
      </c>
      <c r="P9" s="16">
        <v>0</v>
      </c>
      <c r="Q9" s="66">
        <v>58001</v>
      </c>
    </row>
    <row r="10" spans="2:17" ht="15.75" x14ac:dyDescent="0.25"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66"/>
    </row>
    <row r="11" spans="2:17" ht="15.75" x14ac:dyDescent="0.25">
      <c r="B11" s="21"/>
      <c r="C11" s="21"/>
      <c r="D11" s="21"/>
      <c r="E11" s="20" t="s">
        <v>15</v>
      </c>
      <c r="F11" s="16">
        <f>G11+H11+I11+J11+K11+L11+M11+N11+O11+P11+Q11</f>
        <v>69508271</v>
      </c>
      <c r="G11" s="16">
        <v>296319</v>
      </c>
      <c r="H11" s="16">
        <v>9714311</v>
      </c>
      <c r="I11" s="16">
        <v>0</v>
      </c>
      <c r="J11" s="16">
        <v>18832654</v>
      </c>
      <c r="K11" s="16">
        <v>5540657</v>
      </c>
      <c r="L11" s="16">
        <v>741876</v>
      </c>
      <c r="M11" s="16">
        <v>453560</v>
      </c>
      <c r="N11" s="16">
        <v>28551449</v>
      </c>
      <c r="O11" s="16">
        <v>5377445</v>
      </c>
      <c r="P11" s="16">
        <v>0</v>
      </c>
      <c r="Q11" s="66">
        <v>0</v>
      </c>
    </row>
    <row r="12" spans="2:17" ht="15.75" x14ac:dyDescent="0.25"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6"/>
    </row>
    <row r="13" spans="2:17" ht="15.75" x14ac:dyDescent="0.25">
      <c r="E13" s="20" t="s">
        <v>17</v>
      </c>
      <c r="F13" s="16">
        <f>G13+H13+I13+J13+K13+L13+M13+N13+O13+P13+Q13</f>
        <v>6523010</v>
      </c>
      <c r="G13" s="16">
        <v>0</v>
      </c>
      <c r="H13" s="16">
        <v>730275</v>
      </c>
      <c r="I13" s="16">
        <v>0</v>
      </c>
      <c r="J13" s="16">
        <v>1571911</v>
      </c>
      <c r="K13" s="16">
        <v>649023</v>
      </c>
      <c r="L13" s="16">
        <v>3571801</v>
      </c>
      <c r="M13" s="16">
        <v>0</v>
      </c>
      <c r="N13" s="16">
        <v>0</v>
      </c>
      <c r="O13" s="16">
        <v>0</v>
      </c>
      <c r="P13" s="16">
        <v>0</v>
      </c>
      <c r="Q13" s="66">
        <v>0</v>
      </c>
    </row>
    <row r="14" spans="2:17" ht="15.75" x14ac:dyDescent="0.25"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66"/>
    </row>
    <row r="15" spans="2:17" ht="15.75" x14ac:dyDescent="0.25">
      <c r="E15" s="20" t="s">
        <v>18</v>
      </c>
      <c r="F15" s="16">
        <f>G15+H15+I15+J15+K15+L15+M15+N15+O15+P15+Q15</f>
        <v>13524754</v>
      </c>
      <c r="G15" s="16">
        <v>0</v>
      </c>
      <c r="H15" s="16">
        <v>1145433</v>
      </c>
      <c r="I15" s="16">
        <v>0</v>
      </c>
      <c r="J15" s="16">
        <v>3634904</v>
      </c>
      <c r="K15" s="16">
        <v>1683101</v>
      </c>
      <c r="L15" s="16">
        <v>6730102</v>
      </c>
      <c r="M15" s="16">
        <v>331214</v>
      </c>
      <c r="N15" s="16">
        <v>0</v>
      </c>
      <c r="O15" s="16">
        <v>0</v>
      </c>
      <c r="P15" s="16">
        <v>0</v>
      </c>
      <c r="Q15" s="66">
        <v>0</v>
      </c>
    </row>
    <row r="16" spans="2:17" ht="15.75" x14ac:dyDescent="0.25"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66"/>
    </row>
    <row r="17" spans="5:17" ht="15.75" x14ac:dyDescent="0.25">
      <c r="E17" s="20" t="s">
        <v>19</v>
      </c>
      <c r="F17" s="16">
        <f>G17+H17+I17+J17+K17+L17+M17+N17+O17+P17+Q17</f>
        <v>23997109.800000001</v>
      </c>
      <c r="G17" s="16">
        <v>0</v>
      </c>
      <c r="H17" s="16">
        <v>2674993.7999999998</v>
      </c>
      <c r="I17" s="16">
        <v>0</v>
      </c>
      <c r="J17" s="16">
        <v>7084431</v>
      </c>
      <c r="K17" s="16">
        <v>1608280</v>
      </c>
      <c r="L17" s="16">
        <v>298902</v>
      </c>
      <c r="M17" s="16">
        <v>244293</v>
      </c>
      <c r="N17" s="16">
        <v>9148913</v>
      </c>
      <c r="O17" s="16">
        <v>2911672</v>
      </c>
      <c r="P17" s="16">
        <v>0</v>
      </c>
      <c r="Q17" s="66">
        <v>25625</v>
      </c>
    </row>
    <row r="18" spans="5:17" ht="15.75" x14ac:dyDescent="0.25"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66"/>
    </row>
    <row r="19" spans="5:17" ht="15.75" x14ac:dyDescent="0.25">
      <c r="E19" s="20" t="s">
        <v>20</v>
      </c>
      <c r="F19" s="16">
        <f>G19+H19+I19+J19+K19+L19+M19+N19+O19+P19+Q19</f>
        <v>19968379</v>
      </c>
      <c r="G19" s="16">
        <v>0</v>
      </c>
      <c r="H19" s="16">
        <v>2658326</v>
      </c>
      <c r="I19" s="16">
        <v>0</v>
      </c>
      <c r="J19" s="16">
        <v>5413579</v>
      </c>
      <c r="K19" s="16">
        <v>2849034</v>
      </c>
      <c r="L19" s="16">
        <v>194982</v>
      </c>
      <c r="M19" s="16">
        <v>19214</v>
      </c>
      <c r="N19" s="16">
        <v>8833244</v>
      </c>
      <c r="O19" s="16">
        <v>0</v>
      </c>
      <c r="P19" s="16">
        <v>0</v>
      </c>
      <c r="Q19" s="66">
        <v>0</v>
      </c>
    </row>
    <row r="20" spans="5:17" ht="15.75" x14ac:dyDescent="0.25"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66"/>
    </row>
    <row r="21" spans="5:17" ht="15.75" x14ac:dyDescent="0.25">
      <c r="E21" s="20" t="s">
        <v>21</v>
      </c>
      <c r="F21" s="16">
        <f>G21+H21+I21+J21+K21+L21+M21+N21+O21+P21+Q21</f>
        <v>4248008</v>
      </c>
      <c r="G21" s="16">
        <v>0</v>
      </c>
      <c r="H21" s="16">
        <v>615749</v>
      </c>
      <c r="I21" s="16">
        <v>0</v>
      </c>
      <c r="J21" s="16">
        <v>1444013</v>
      </c>
      <c r="K21" s="16">
        <v>349622</v>
      </c>
      <c r="L21" s="16">
        <v>1838624</v>
      </c>
      <c r="M21" s="16">
        <v>0</v>
      </c>
      <c r="N21" s="16">
        <v>0</v>
      </c>
      <c r="O21" s="16">
        <v>0</v>
      </c>
      <c r="P21" s="16">
        <v>0</v>
      </c>
      <c r="Q21" s="66">
        <v>0</v>
      </c>
    </row>
    <row r="22" spans="5:17" ht="15.75" x14ac:dyDescent="0.25"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66"/>
    </row>
    <row r="23" spans="5:17" ht="15.75" x14ac:dyDescent="0.25">
      <c r="E23" s="20" t="s">
        <v>22</v>
      </c>
      <c r="F23" s="16">
        <f>G23+H23+I23+J23+K23+L23+M23+N23+O23+P23+Q23</f>
        <v>846174</v>
      </c>
      <c r="G23" s="16">
        <v>0</v>
      </c>
      <c r="H23" s="16">
        <v>23834</v>
      </c>
      <c r="I23" s="16">
        <v>0</v>
      </c>
      <c r="J23" s="16">
        <v>346333</v>
      </c>
      <c r="K23" s="16">
        <v>23902</v>
      </c>
      <c r="L23" s="16">
        <v>452105</v>
      </c>
      <c r="M23" s="16">
        <v>0</v>
      </c>
      <c r="N23" s="16">
        <v>0</v>
      </c>
      <c r="O23" s="16">
        <v>0</v>
      </c>
      <c r="P23" s="16">
        <v>0</v>
      </c>
      <c r="Q23" s="66">
        <v>0</v>
      </c>
    </row>
    <row r="24" spans="5:17" ht="15.75" x14ac:dyDescent="0.25">
      <c r="E24" s="2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66"/>
    </row>
    <row r="25" spans="5:17" ht="15.75" x14ac:dyDescent="0.25">
      <c r="E25" s="65" t="s">
        <v>3</v>
      </c>
      <c r="F25" s="16">
        <f>G25+H25+I25+J25+K25+L25+M25+N25+O25+P25+Q25</f>
        <v>291518877.80000001</v>
      </c>
      <c r="G25" s="16">
        <f t="shared" ref="G25:Q25" si="0">G7+G9+G11+G13+G15+G17+G19+G21+G23</f>
        <v>1060983</v>
      </c>
      <c r="H25" s="16">
        <f t="shared" si="0"/>
        <v>43046465.799999997</v>
      </c>
      <c r="I25" s="16">
        <f t="shared" si="0"/>
        <v>18030</v>
      </c>
      <c r="J25" s="16">
        <f t="shared" si="0"/>
        <v>87436620</v>
      </c>
      <c r="K25" s="16">
        <f>K7+K9+K11+K13+K15+K17+K19+K21+K23</f>
        <v>26094024</v>
      </c>
      <c r="L25" s="16">
        <f t="shared" si="0"/>
        <v>19110799</v>
      </c>
      <c r="M25" s="16">
        <f t="shared" si="0"/>
        <v>2146627</v>
      </c>
      <c r="N25" s="16">
        <f t="shared" si="0"/>
        <v>91726361</v>
      </c>
      <c r="O25" s="16">
        <f t="shared" si="0"/>
        <v>20759530</v>
      </c>
      <c r="P25" s="16">
        <f>P7+P9+P11+P13+P15+P17+P19+P21+P23</f>
        <v>0</v>
      </c>
      <c r="Q25" s="66">
        <f t="shared" si="0"/>
        <v>119438</v>
      </c>
    </row>
    <row r="26" spans="5:17" ht="16.5" thickBot="1" x14ac:dyDescent="0.3"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67"/>
    </row>
    <row r="27" spans="5:17" ht="16.5" thickTop="1" x14ac:dyDescent="0.25"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7"/>
    </row>
    <row r="28" spans="5:17" ht="15.75" x14ac:dyDescent="0.25">
      <c r="E28" s="33" t="s">
        <v>23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</row>
    <row r="29" spans="5:17" ht="15.75" x14ac:dyDescent="0.25"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7" ht="15.75" x14ac:dyDescent="0.25">
      <c r="F30" s="34"/>
      <c r="G30" s="35"/>
      <c r="H30" s="35"/>
      <c r="I30" s="35"/>
      <c r="J30" s="35"/>
      <c r="K30" s="35"/>
      <c r="L30" s="35"/>
      <c r="M30" s="35"/>
      <c r="N30" s="35"/>
      <c r="O30" s="35"/>
    </row>
    <row r="31" spans="5:17" ht="15.75" x14ac:dyDescent="0.25">
      <c r="E31" s="2" t="s">
        <v>0</v>
      </c>
      <c r="F31" s="3"/>
      <c r="G31" s="3"/>
      <c r="H31" s="7"/>
      <c r="I31" s="3"/>
      <c r="J31" s="7"/>
      <c r="K31" s="7"/>
      <c r="L31" s="7"/>
      <c r="M31" s="7"/>
      <c r="N31" s="7"/>
      <c r="O31" s="7"/>
      <c r="P31" s="7"/>
    </row>
    <row r="32" spans="5:17" ht="15.75" x14ac:dyDescent="0.25">
      <c r="F32" s="36"/>
      <c r="G32" s="37"/>
      <c r="H32" s="38"/>
      <c r="I32" s="38"/>
      <c r="J32" s="39" t="s">
        <v>1</v>
      </c>
      <c r="K32" s="39"/>
      <c r="L32" s="38"/>
      <c r="M32" s="38"/>
      <c r="N32" s="38"/>
      <c r="O32" s="38"/>
      <c r="P32" s="38"/>
    </row>
    <row r="33" spans="5:17" ht="15.75" x14ac:dyDescent="0.25">
      <c r="E33" s="77">
        <v>2018</v>
      </c>
      <c r="F33" s="3"/>
      <c r="G33" s="3"/>
      <c r="H33" s="7"/>
      <c r="I33" s="3"/>
      <c r="J33" s="7"/>
      <c r="K33" s="7"/>
      <c r="L33" s="7"/>
      <c r="M33" s="7"/>
      <c r="N33" s="7"/>
      <c r="O33" s="7"/>
      <c r="P33" s="7"/>
    </row>
    <row r="34" spans="5:17" ht="16.5" thickBot="1" x14ac:dyDescent="0.3">
      <c r="F34" s="36"/>
      <c r="G34" s="38"/>
      <c r="H34" s="38"/>
      <c r="I34" s="38"/>
      <c r="J34" s="38"/>
      <c r="K34" s="38"/>
      <c r="L34" s="38"/>
      <c r="M34" s="38"/>
      <c r="N34" s="38"/>
      <c r="Q34" s="76" t="s">
        <v>54</v>
      </c>
    </row>
    <row r="35" spans="5:17" ht="15.95" customHeight="1" thickTop="1" x14ac:dyDescent="0.25">
      <c r="E35" s="41" t="s">
        <v>24</v>
      </c>
      <c r="F35" s="42" t="s">
        <v>3</v>
      </c>
      <c r="G35" s="62" t="s">
        <v>43</v>
      </c>
      <c r="H35" s="62" t="s">
        <v>40</v>
      </c>
      <c r="I35" s="43" t="s">
        <v>6</v>
      </c>
      <c r="J35" s="43" t="s">
        <v>61</v>
      </c>
      <c r="K35" s="12" t="s">
        <v>60</v>
      </c>
      <c r="L35" s="43" t="s">
        <v>8</v>
      </c>
      <c r="M35" s="43" t="s">
        <v>25</v>
      </c>
      <c r="N35" s="44" t="s">
        <v>10</v>
      </c>
      <c r="O35" s="12" t="s">
        <v>11</v>
      </c>
      <c r="P35" s="13" t="s">
        <v>59</v>
      </c>
      <c r="Q35" s="63" t="s">
        <v>56</v>
      </c>
    </row>
    <row r="36" spans="5:17" ht="15.95" customHeight="1" x14ac:dyDescent="0.25">
      <c r="E36" s="45"/>
      <c r="F36" s="46"/>
      <c r="G36" s="46"/>
      <c r="H36" s="46"/>
      <c r="I36" s="46"/>
      <c r="J36" s="46"/>
      <c r="K36" s="46"/>
      <c r="L36" s="46"/>
      <c r="M36" s="46"/>
      <c r="N36" s="78"/>
      <c r="O36" s="46"/>
      <c r="P36" s="78"/>
      <c r="Q36" s="79"/>
    </row>
    <row r="37" spans="5:17" ht="15.95" customHeight="1" x14ac:dyDescent="0.25">
      <c r="E37" s="45" t="s">
        <v>26</v>
      </c>
      <c r="F37" s="49">
        <f>SUM(G37:Q37)</f>
        <v>21935588</v>
      </c>
      <c r="G37" s="49">
        <v>70476</v>
      </c>
      <c r="H37" s="49">
        <v>3161232</v>
      </c>
      <c r="I37" s="49">
        <v>2000</v>
      </c>
      <c r="J37" s="49">
        <v>6617532</v>
      </c>
      <c r="K37" s="49">
        <v>1490364</v>
      </c>
      <c r="L37" s="49">
        <v>1600973</v>
      </c>
      <c r="M37" s="80">
        <v>235063</v>
      </c>
      <c r="N37" s="80">
        <v>7016723</v>
      </c>
      <c r="O37" s="49">
        <v>1728308</v>
      </c>
      <c r="P37" s="83">
        <v>0</v>
      </c>
      <c r="Q37" s="81">
        <v>12917</v>
      </c>
    </row>
    <row r="38" spans="5:17" ht="15.95" customHeight="1" x14ac:dyDescent="0.25">
      <c r="E38" s="45" t="s">
        <v>27</v>
      </c>
      <c r="F38" s="49">
        <f>SUM(G38:Q38)</f>
        <v>20314477</v>
      </c>
      <c r="G38" s="49">
        <v>71585</v>
      </c>
      <c r="H38" s="49">
        <v>2928563</v>
      </c>
      <c r="I38" s="49">
        <v>2000</v>
      </c>
      <c r="J38" s="49">
        <v>6300049</v>
      </c>
      <c r="K38" s="49">
        <v>1468559</v>
      </c>
      <c r="L38" s="49">
        <v>1399094</v>
      </c>
      <c r="M38" s="80">
        <v>137615</v>
      </c>
      <c r="N38" s="80">
        <v>6203276</v>
      </c>
      <c r="O38" s="49">
        <v>1788482</v>
      </c>
      <c r="P38" s="83">
        <v>0</v>
      </c>
      <c r="Q38" s="81">
        <v>15254</v>
      </c>
    </row>
    <row r="39" spans="5:17" ht="15.95" customHeight="1" x14ac:dyDescent="0.25">
      <c r="E39" s="45" t="s">
        <v>28</v>
      </c>
      <c r="F39" s="49">
        <f>SUM(G39:Q39)</f>
        <v>21959943</v>
      </c>
      <c r="G39" s="49">
        <v>116373</v>
      </c>
      <c r="H39" s="49">
        <v>2968412</v>
      </c>
      <c r="I39" s="49">
        <v>2631</v>
      </c>
      <c r="J39" s="49">
        <v>7068663</v>
      </c>
      <c r="K39" s="49">
        <v>1815130</v>
      </c>
      <c r="L39" s="49">
        <v>1345591</v>
      </c>
      <c r="M39" s="80">
        <v>231160</v>
      </c>
      <c r="N39" s="80">
        <v>6659475</v>
      </c>
      <c r="O39" s="49">
        <v>1752508</v>
      </c>
      <c r="P39" s="83">
        <v>0</v>
      </c>
      <c r="Q39" s="81">
        <v>0</v>
      </c>
    </row>
    <row r="40" spans="5:17" ht="15.95" customHeight="1" x14ac:dyDescent="0.25">
      <c r="E40" s="45"/>
      <c r="F40" s="49">
        <f t="shared" ref="F40:L40" si="1">F37+F38+F39</f>
        <v>64210008</v>
      </c>
      <c r="G40" s="49">
        <f t="shared" si="1"/>
        <v>258434</v>
      </c>
      <c r="H40" s="49">
        <f t="shared" si="1"/>
        <v>9058207</v>
      </c>
      <c r="I40" s="49">
        <f t="shared" si="1"/>
        <v>6631</v>
      </c>
      <c r="J40" s="49">
        <f t="shared" si="1"/>
        <v>19986244</v>
      </c>
      <c r="K40" s="49">
        <f t="shared" si="1"/>
        <v>4774053</v>
      </c>
      <c r="L40" s="49">
        <f t="shared" si="1"/>
        <v>4345658</v>
      </c>
      <c r="M40" s="80">
        <f>SUM(M37:M39)</f>
        <v>603838</v>
      </c>
      <c r="N40" s="80">
        <f>SUM(N37:N39)</f>
        <v>19879474</v>
      </c>
      <c r="O40" s="49">
        <f>O37+O38+O39</f>
        <v>5269298</v>
      </c>
      <c r="P40" s="49">
        <f>P37+P38+P39</f>
        <v>0</v>
      </c>
      <c r="Q40" s="81">
        <f>Q37+Q38+Q39</f>
        <v>28171</v>
      </c>
    </row>
    <row r="41" spans="5:17" ht="15.95" customHeight="1" x14ac:dyDescent="0.25">
      <c r="E41" s="45" t="s">
        <v>29</v>
      </c>
      <c r="F41" s="49">
        <f>SUM(G41:Q41)</f>
        <v>22737639</v>
      </c>
      <c r="G41" s="49">
        <v>82860</v>
      </c>
      <c r="H41" s="49">
        <v>3631382</v>
      </c>
      <c r="I41" s="49">
        <v>398</v>
      </c>
      <c r="J41" s="49">
        <v>7205299</v>
      </c>
      <c r="K41" s="49">
        <v>2229801</v>
      </c>
      <c r="L41" s="49">
        <v>1434660</v>
      </c>
      <c r="M41" s="80">
        <v>213401</v>
      </c>
      <c r="N41" s="80">
        <v>6631853</v>
      </c>
      <c r="O41" s="49">
        <v>1270734</v>
      </c>
      <c r="P41" s="83">
        <v>0</v>
      </c>
      <c r="Q41" s="81">
        <v>37251</v>
      </c>
    </row>
    <row r="42" spans="5:17" ht="15.95" customHeight="1" x14ac:dyDescent="0.25">
      <c r="E42" s="45" t="s">
        <v>30</v>
      </c>
      <c r="F42" s="49">
        <f>SUM(G42:Q42)</f>
        <v>26146752</v>
      </c>
      <c r="G42" s="49">
        <v>80592</v>
      </c>
      <c r="H42" s="49">
        <v>3726159</v>
      </c>
      <c r="I42" s="49">
        <v>0</v>
      </c>
      <c r="J42" s="49">
        <v>8209248</v>
      </c>
      <c r="K42" s="49">
        <v>3173445</v>
      </c>
      <c r="L42" s="49">
        <v>1371235</v>
      </c>
      <c r="M42" s="80">
        <v>158858</v>
      </c>
      <c r="N42" s="80">
        <v>7597948</v>
      </c>
      <c r="O42" s="49">
        <v>1817585</v>
      </c>
      <c r="P42" s="83">
        <v>0</v>
      </c>
      <c r="Q42" s="81">
        <v>11682</v>
      </c>
    </row>
    <row r="43" spans="5:17" ht="15.95" customHeight="1" x14ac:dyDescent="0.25">
      <c r="E43" s="45" t="s">
        <v>31</v>
      </c>
      <c r="F43" s="49">
        <f>SUM(G43:Q43)</f>
        <v>25804538</v>
      </c>
      <c r="G43" s="49">
        <v>116863</v>
      </c>
      <c r="H43" s="49">
        <v>3725295</v>
      </c>
      <c r="I43" s="49">
        <v>1989</v>
      </c>
      <c r="J43" s="49">
        <v>8020989</v>
      </c>
      <c r="K43" s="49">
        <v>2841487</v>
      </c>
      <c r="L43" s="49">
        <v>1794517</v>
      </c>
      <c r="M43" s="80">
        <v>169637</v>
      </c>
      <c r="N43" s="80">
        <v>7361603</v>
      </c>
      <c r="O43" s="49">
        <v>1769436</v>
      </c>
      <c r="P43" s="83">
        <v>0</v>
      </c>
      <c r="Q43" s="81">
        <v>2722</v>
      </c>
    </row>
    <row r="44" spans="5:17" ht="15.95" customHeight="1" x14ac:dyDescent="0.25">
      <c r="E44" s="45"/>
      <c r="F44" s="49">
        <f t="shared" ref="F44:L44" si="2">F41+F42+F43</f>
        <v>74688929</v>
      </c>
      <c r="G44" s="49">
        <f t="shared" si="2"/>
        <v>280315</v>
      </c>
      <c r="H44" s="49">
        <f t="shared" si="2"/>
        <v>11082836</v>
      </c>
      <c r="I44" s="49">
        <f t="shared" si="2"/>
        <v>2387</v>
      </c>
      <c r="J44" s="49">
        <f t="shared" si="2"/>
        <v>23435536</v>
      </c>
      <c r="K44" s="49">
        <f>K41+K42+K43</f>
        <v>8244733</v>
      </c>
      <c r="L44" s="49">
        <f t="shared" si="2"/>
        <v>4600412</v>
      </c>
      <c r="M44" s="80">
        <f>SUM(M41:M43)</f>
        <v>541896</v>
      </c>
      <c r="N44" s="80">
        <f>SUM(N41:N43)</f>
        <v>21591404</v>
      </c>
      <c r="O44" s="49">
        <f>O41+O42+O43</f>
        <v>4857755</v>
      </c>
      <c r="P44" s="49">
        <f>P41+P42+P43</f>
        <v>0</v>
      </c>
      <c r="Q44" s="81">
        <f>Q41+Q42+Q43</f>
        <v>51655</v>
      </c>
    </row>
    <row r="45" spans="5:17" ht="15.95" customHeight="1" x14ac:dyDescent="0.25">
      <c r="E45" s="45" t="s">
        <v>32</v>
      </c>
      <c r="F45" s="49">
        <f>SUM(G45:Q45)</f>
        <v>26761645</v>
      </c>
      <c r="G45" s="49">
        <v>83455</v>
      </c>
      <c r="H45" s="49">
        <v>4306676</v>
      </c>
      <c r="I45" s="49">
        <v>0</v>
      </c>
      <c r="J45" s="49">
        <v>7711520</v>
      </c>
      <c r="K45" s="49">
        <v>2221602</v>
      </c>
      <c r="L45" s="49">
        <v>1930496</v>
      </c>
      <c r="M45" s="80">
        <v>122756</v>
      </c>
      <c r="N45" s="80">
        <v>8663646</v>
      </c>
      <c r="O45" s="49">
        <v>1720233</v>
      </c>
      <c r="P45" s="83">
        <v>0</v>
      </c>
      <c r="Q45" s="81">
        <v>1261</v>
      </c>
    </row>
    <row r="46" spans="5:17" ht="15.95" customHeight="1" x14ac:dyDescent="0.25">
      <c r="E46" s="45" t="s">
        <v>41</v>
      </c>
      <c r="F46" s="49">
        <f>SUM(G46:Q46)</f>
        <v>30442950</v>
      </c>
      <c r="G46" s="49">
        <v>133567</v>
      </c>
      <c r="H46" s="49">
        <v>4756789</v>
      </c>
      <c r="I46" s="49">
        <v>2986</v>
      </c>
      <c r="J46" s="49">
        <v>8224856</v>
      </c>
      <c r="K46" s="49">
        <v>2704028</v>
      </c>
      <c r="L46" s="49">
        <v>1993640</v>
      </c>
      <c r="M46" s="80">
        <v>184726</v>
      </c>
      <c r="N46" s="80">
        <v>10799880</v>
      </c>
      <c r="O46" s="49">
        <v>1621289</v>
      </c>
      <c r="P46" s="83">
        <v>0</v>
      </c>
      <c r="Q46" s="81">
        <v>21189</v>
      </c>
    </row>
    <row r="47" spans="5:17" ht="15.95" customHeight="1" x14ac:dyDescent="0.25">
      <c r="E47" s="45" t="s">
        <v>34</v>
      </c>
      <c r="F47" s="49">
        <f>SUM(G47:Q47)</f>
        <v>26328567</v>
      </c>
      <c r="G47" s="49">
        <v>63496</v>
      </c>
      <c r="H47" s="49">
        <v>3596168</v>
      </c>
      <c r="I47" s="49">
        <v>2336</v>
      </c>
      <c r="J47" s="49">
        <v>7308867</v>
      </c>
      <c r="K47" s="49">
        <v>2313493</v>
      </c>
      <c r="L47" s="49">
        <v>1710048</v>
      </c>
      <c r="M47" s="80">
        <v>151219</v>
      </c>
      <c r="N47" s="80">
        <v>8830069</v>
      </c>
      <c r="O47" s="49">
        <v>2346190</v>
      </c>
      <c r="P47" s="83">
        <v>0</v>
      </c>
      <c r="Q47" s="81">
        <v>6681</v>
      </c>
    </row>
    <row r="48" spans="5:17" ht="15.95" customHeight="1" x14ac:dyDescent="0.25">
      <c r="E48" s="45"/>
      <c r="F48" s="49">
        <f t="shared" ref="F48:P48" si="3">F45+F46+F47</f>
        <v>83533162</v>
      </c>
      <c r="G48" s="49">
        <f t="shared" si="3"/>
        <v>280518</v>
      </c>
      <c r="H48" s="49">
        <f t="shared" si="3"/>
        <v>12659633</v>
      </c>
      <c r="I48" s="49">
        <f t="shared" si="3"/>
        <v>5322</v>
      </c>
      <c r="J48" s="49">
        <f t="shared" si="3"/>
        <v>23245243</v>
      </c>
      <c r="K48" s="49">
        <f>K45+K46+K47</f>
        <v>7239123</v>
      </c>
      <c r="L48" s="49">
        <f t="shared" si="3"/>
        <v>5634184</v>
      </c>
      <c r="M48" s="80">
        <f>SUM(M45:M47)</f>
        <v>458701</v>
      </c>
      <c r="N48" s="80">
        <f>SUM(N45:N47)</f>
        <v>28293595</v>
      </c>
      <c r="O48" s="49">
        <f t="shared" si="3"/>
        <v>5687712</v>
      </c>
      <c r="P48" s="49">
        <f t="shared" si="3"/>
        <v>0</v>
      </c>
      <c r="Q48" s="81">
        <f>Q45+Q46+Q47</f>
        <v>29131</v>
      </c>
    </row>
    <row r="49" spans="5:17" ht="15.95" customHeight="1" x14ac:dyDescent="0.25">
      <c r="E49" s="45" t="s">
        <v>35</v>
      </c>
      <c r="F49" s="49">
        <f>SUM(G49:Q49)</f>
        <v>25811256</v>
      </c>
      <c r="G49" s="49">
        <v>93930</v>
      </c>
      <c r="H49" s="49">
        <v>3888779</v>
      </c>
      <c r="I49" s="49">
        <v>0</v>
      </c>
      <c r="J49" s="49">
        <v>7399814</v>
      </c>
      <c r="K49" s="49">
        <v>2103145</v>
      </c>
      <c r="L49" s="49">
        <v>1710212</v>
      </c>
      <c r="M49" s="80">
        <v>215230</v>
      </c>
      <c r="N49" s="80">
        <v>8584340</v>
      </c>
      <c r="O49" s="49">
        <v>1806324</v>
      </c>
      <c r="P49" s="83">
        <v>0</v>
      </c>
      <c r="Q49" s="81">
        <v>9482</v>
      </c>
    </row>
    <row r="50" spans="5:17" ht="15.95" customHeight="1" x14ac:dyDescent="0.25">
      <c r="E50" s="45" t="s">
        <v>36</v>
      </c>
      <c r="F50" s="49">
        <f>SUM(G50:Q50)</f>
        <v>20740812</v>
      </c>
      <c r="G50" s="49">
        <v>83233</v>
      </c>
      <c r="H50" s="49">
        <v>3127250</v>
      </c>
      <c r="I50" s="49">
        <v>3490</v>
      </c>
      <c r="J50" s="49">
        <v>7094923</v>
      </c>
      <c r="K50" s="49">
        <v>1735219</v>
      </c>
      <c r="L50" s="49">
        <v>1464309</v>
      </c>
      <c r="M50" s="80">
        <v>190413</v>
      </c>
      <c r="N50" s="80">
        <v>6838829</v>
      </c>
      <c r="O50" s="49">
        <v>202147</v>
      </c>
      <c r="P50" s="83">
        <v>0</v>
      </c>
      <c r="Q50" s="81">
        <v>999</v>
      </c>
    </row>
    <row r="51" spans="5:17" ht="15.95" customHeight="1" x14ac:dyDescent="0.25">
      <c r="E51" s="45" t="s">
        <v>37</v>
      </c>
      <c r="F51" s="49">
        <f>SUM(G51:Q51)</f>
        <v>22534710.800000001</v>
      </c>
      <c r="G51" s="49">
        <v>64553</v>
      </c>
      <c r="H51" s="49">
        <v>3229760.8</v>
      </c>
      <c r="I51" s="49">
        <v>200</v>
      </c>
      <c r="J51" s="49">
        <v>6274860</v>
      </c>
      <c r="K51" s="49">
        <v>1997751</v>
      </c>
      <c r="L51" s="49">
        <v>1356024</v>
      </c>
      <c r="M51" s="80">
        <v>136549</v>
      </c>
      <c r="N51" s="80">
        <v>6538719</v>
      </c>
      <c r="O51" s="49">
        <v>2936294</v>
      </c>
      <c r="P51" s="83">
        <v>0</v>
      </c>
      <c r="Q51" s="81">
        <v>0</v>
      </c>
    </row>
    <row r="52" spans="5:17" ht="15.95" customHeight="1" x14ac:dyDescent="0.25">
      <c r="E52" s="45"/>
      <c r="F52" s="49">
        <f t="shared" ref="F52:P52" si="4">F49+F50+F51</f>
        <v>69086778.799999997</v>
      </c>
      <c r="G52" s="49">
        <f t="shared" si="4"/>
        <v>241716</v>
      </c>
      <c r="H52" s="49">
        <f t="shared" si="4"/>
        <v>10245789.800000001</v>
      </c>
      <c r="I52" s="49">
        <f t="shared" si="4"/>
        <v>3690</v>
      </c>
      <c r="J52" s="49">
        <f t="shared" si="4"/>
        <v>20769597</v>
      </c>
      <c r="K52" s="49">
        <f>K49+K50+K51</f>
        <v>5836115</v>
      </c>
      <c r="L52" s="49">
        <f t="shared" si="4"/>
        <v>4530545</v>
      </c>
      <c r="M52" s="80">
        <f>SUM(M49:M51)</f>
        <v>542192</v>
      </c>
      <c r="N52" s="82">
        <f>SUM(N49:N51)</f>
        <v>21961888</v>
      </c>
      <c r="O52" s="49">
        <f t="shared" si="4"/>
        <v>4944765</v>
      </c>
      <c r="P52" s="49">
        <f t="shared" si="4"/>
        <v>0</v>
      </c>
      <c r="Q52" s="81">
        <f>Q49+Q50+Q51</f>
        <v>10481</v>
      </c>
    </row>
    <row r="53" spans="5:17" ht="15.95" customHeight="1" x14ac:dyDescent="0.25">
      <c r="E53" s="70" t="s">
        <v>38</v>
      </c>
      <c r="F53" s="49">
        <f t="shared" ref="F53:P53" si="5">F37+F38+F39+F41+F42+F43+F45+F46+F47+F49+F50+F51</f>
        <v>291518877.80000001</v>
      </c>
      <c r="G53" s="49">
        <f t="shared" si="5"/>
        <v>1060983</v>
      </c>
      <c r="H53" s="49">
        <f t="shared" si="5"/>
        <v>43046465.799999997</v>
      </c>
      <c r="I53" s="49">
        <f t="shared" si="5"/>
        <v>18030</v>
      </c>
      <c r="J53" s="49">
        <f t="shared" si="5"/>
        <v>87436620</v>
      </c>
      <c r="K53" s="49">
        <f>K37+K38+K39+K41+K42+K43+K45+K46+K47+K49+K50+K51</f>
        <v>26094024</v>
      </c>
      <c r="L53" s="49">
        <f t="shared" si="5"/>
        <v>19110799</v>
      </c>
      <c r="M53" s="49">
        <f t="shared" si="5"/>
        <v>2146627</v>
      </c>
      <c r="N53" s="83">
        <f t="shared" si="5"/>
        <v>91726361</v>
      </c>
      <c r="O53" s="49">
        <f t="shared" si="5"/>
        <v>20759530</v>
      </c>
      <c r="P53" s="49">
        <f t="shared" si="5"/>
        <v>0</v>
      </c>
      <c r="Q53" s="81">
        <f>Q37+Q38+Q39+Q41+Q42+Q43+Q45+Q46+Q47+Q49+Q50+Q51</f>
        <v>119438</v>
      </c>
    </row>
    <row r="54" spans="5:17" ht="15.95" customHeight="1" thickBot="1" x14ac:dyDescent="0.3">
      <c r="E54" s="58"/>
      <c r="F54" s="26"/>
      <c r="G54" s="27"/>
      <c r="H54" s="27"/>
      <c r="I54" s="27"/>
      <c r="J54" s="27"/>
      <c r="K54" s="27"/>
      <c r="L54" s="27"/>
      <c r="M54" s="27"/>
      <c r="N54" s="28"/>
      <c r="O54" s="27"/>
      <c r="P54" s="28"/>
      <c r="Q54" s="67"/>
    </row>
    <row r="55" spans="5:17" ht="16.5" thickTop="1" x14ac:dyDescent="0.25">
      <c r="F55" s="59"/>
      <c r="G55" s="60"/>
      <c r="H55" s="60"/>
      <c r="I55" s="60"/>
      <c r="J55" s="60"/>
      <c r="K55" s="60"/>
      <c r="L55" s="60"/>
      <c r="M55" s="60"/>
      <c r="N55" s="60"/>
      <c r="O55" s="60"/>
      <c r="P55" s="37"/>
    </row>
    <row r="56" spans="5:17" ht="15.75" x14ac:dyDescent="0.25">
      <c r="E56" s="33" t="s">
        <v>23</v>
      </c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37"/>
    </row>
    <row r="57" spans="5:17" ht="15.75" x14ac:dyDescent="0.25">
      <c r="E57" s="61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37"/>
    </row>
    <row r="58" spans="5:17" ht="15.75" x14ac:dyDescent="0.25">
      <c r="F58" s="59"/>
      <c r="G58" s="60"/>
      <c r="H58" s="60"/>
      <c r="I58" s="60"/>
      <c r="J58" s="60"/>
      <c r="K58" s="60"/>
      <c r="L58" s="60"/>
      <c r="M58" s="60"/>
      <c r="N58" s="60"/>
      <c r="O58" s="60"/>
    </row>
    <row r="59" spans="5:17" ht="15.75" x14ac:dyDescent="0.25">
      <c r="F59" s="59"/>
      <c r="G59" s="60"/>
      <c r="H59" s="60"/>
      <c r="I59" s="60"/>
      <c r="J59" s="60"/>
      <c r="K59" s="60"/>
      <c r="L59" s="60"/>
      <c r="M59" s="60"/>
      <c r="N59" s="60"/>
      <c r="O59" s="60"/>
    </row>
    <row r="60" spans="5:17" ht="15.75" x14ac:dyDescent="0.25">
      <c r="F60" s="59"/>
      <c r="G60" s="60"/>
      <c r="H60" s="60"/>
      <c r="I60" s="60"/>
      <c r="J60" s="60"/>
      <c r="K60" s="60"/>
      <c r="L60" s="60"/>
      <c r="M60" s="60"/>
      <c r="N60" s="60"/>
      <c r="O60" s="60"/>
    </row>
    <row r="61" spans="5:17" ht="15.75" x14ac:dyDescent="0.25">
      <c r="F61" s="59"/>
      <c r="G61" s="60"/>
      <c r="H61" s="60"/>
      <c r="I61" s="60"/>
      <c r="J61" s="60"/>
      <c r="K61" s="60"/>
      <c r="L61" s="60"/>
      <c r="M61" s="60"/>
      <c r="N61" s="60"/>
      <c r="O61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syncVertical="1" syncRef="A1" transitionEvaluation="1"/>
  <dimension ref="A1:Q61"/>
  <sheetViews>
    <sheetView showGridLines="0" topLeftCell="D1" workbookViewId="0">
      <selection activeCell="G19" sqref="G19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22.85546875" style="1" bestFit="1" customWidth="1"/>
    <col min="11" max="11" width="21.140625" style="1" bestFit="1" customWidth="1"/>
    <col min="12" max="12" width="15" style="1" customWidth="1"/>
    <col min="13" max="13" width="14.5703125" style="1" customWidth="1"/>
    <col min="14" max="15" width="14.28515625" style="1" customWidth="1"/>
    <col min="16" max="17" width="14.140625" style="1" customWidth="1"/>
    <col min="18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22.85546875" style="1" bestFit="1" customWidth="1"/>
    <col min="267" max="267" width="21.140625" style="1" bestFit="1" customWidth="1"/>
    <col min="268" max="268" width="15" style="1" customWidth="1"/>
    <col min="269" max="269" width="14.5703125" style="1" customWidth="1"/>
    <col min="270" max="271" width="14.28515625" style="1" customWidth="1"/>
    <col min="272" max="273" width="14.140625" style="1" customWidth="1"/>
    <col min="274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22.85546875" style="1" bestFit="1" customWidth="1"/>
    <col min="523" max="523" width="21.140625" style="1" bestFit="1" customWidth="1"/>
    <col min="524" max="524" width="15" style="1" customWidth="1"/>
    <col min="525" max="525" width="14.5703125" style="1" customWidth="1"/>
    <col min="526" max="527" width="14.28515625" style="1" customWidth="1"/>
    <col min="528" max="529" width="14.140625" style="1" customWidth="1"/>
    <col min="530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22.85546875" style="1" bestFit="1" customWidth="1"/>
    <col min="779" max="779" width="21.140625" style="1" bestFit="1" customWidth="1"/>
    <col min="780" max="780" width="15" style="1" customWidth="1"/>
    <col min="781" max="781" width="14.5703125" style="1" customWidth="1"/>
    <col min="782" max="783" width="14.28515625" style="1" customWidth="1"/>
    <col min="784" max="785" width="14.140625" style="1" customWidth="1"/>
    <col min="786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22.85546875" style="1" bestFit="1" customWidth="1"/>
    <col min="1035" max="1035" width="21.140625" style="1" bestFit="1" customWidth="1"/>
    <col min="1036" max="1036" width="15" style="1" customWidth="1"/>
    <col min="1037" max="1037" width="14.5703125" style="1" customWidth="1"/>
    <col min="1038" max="1039" width="14.28515625" style="1" customWidth="1"/>
    <col min="1040" max="1041" width="14.140625" style="1" customWidth="1"/>
    <col min="1042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22.85546875" style="1" bestFit="1" customWidth="1"/>
    <col min="1291" max="1291" width="21.140625" style="1" bestFit="1" customWidth="1"/>
    <col min="1292" max="1292" width="15" style="1" customWidth="1"/>
    <col min="1293" max="1293" width="14.5703125" style="1" customWidth="1"/>
    <col min="1294" max="1295" width="14.28515625" style="1" customWidth="1"/>
    <col min="1296" max="1297" width="14.140625" style="1" customWidth="1"/>
    <col min="1298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22.85546875" style="1" bestFit="1" customWidth="1"/>
    <col min="1547" max="1547" width="21.140625" style="1" bestFit="1" customWidth="1"/>
    <col min="1548" max="1548" width="15" style="1" customWidth="1"/>
    <col min="1549" max="1549" width="14.5703125" style="1" customWidth="1"/>
    <col min="1550" max="1551" width="14.28515625" style="1" customWidth="1"/>
    <col min="1552" max="1553" width="14.140625" style="1" customWidth="1"/>
    <col min="1554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22.85546875" style="1" bestFit="1" customWidth="1"/>
    <col min="1803" max="1803" width="21.140625" style="1" bestFit="1" customWidth="1"/>
    <col min="1804" max="1804" width="15" style="1" customWidth="1"/>
    <col min="1805" max="1805" width="14.5703125" style="1" customWidth="1"/>
    <col min="1806" max="1807" width="14.28515625" style="1" customWidth="1"/>
    <col min="1808" max="1809" width="14.140625" style="1" customWidth="1"/>
    <col min="1810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22.85546875" style="1" bestFit="1" customWidth="1"/>
    <col min="2059" max="2059" width="21.140625" style="1" bestFit="1" customWidth="1"/>
    <col min="2060" max="2060" width="15" style="1" customWidth="1"/>
    <col min="2061" max="2061" width="14.5703125" style="1" customWidth="1"/>
    <col min="2062" max="2063" width="14.28515625" style="1" customWidth="1"/>
    <col min="2064" max="2065" width="14.140625" style="1" customWidth="1"/>
    <col min="2066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22.85546875" style="1" bestFit="1" customWidth="1"/>
    <col min="2315" max="2315" width="21.140625" style="1" bestFit="1" customWidth="1"/>
    <col min="2316" max="2316" width="15" style="1" customWidth="1"/>
    <col min="2317" max="2317" width="14.5703125" style="1" customWidth="1"/>
    <col min="2318" max="2319" width="14.28515625" style="1" customWidth="1"/>
    <col min="2320" max="2321" width="14.140625" style="1" customWidth="1"/>
    <col min="2322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22.85546875" style="1" bestFit="1" customWidth="1"/>
    <col min="2571" max="2571" width="21.140625" style="1" bestFit="1" customWidth="1"/>
    <col min="2572" max="2572" width="15" style="1" customWidth="1"/>
    <col min="2573" max="2573" width="14.5703125" style="1" customWidth="1"/>
    <col min="2574" max="2575" width="14.28515625" style="1" customWidth="1"/>
    <col min="2576" max="2577" width="14.140625" style="1" customWidth="1"/>
    <col min="2578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22.85546875" style="1" bestFit="1" customWidth="1"/>
    <col min="2827" max="2827" width="21.140625" style="1" bestFit="1" customWidth="1"/>
    <col min="2828" max="2828" width="15" style="1" customWidth="1"/>
    <col min="2829" max="2829" width="14.5703125" style="1" customWidth="1"/>
    <col min="2830" max="2831" width="14.28515625" style="1" customWidth="1"/>
    <col min="2832" max="2833" width="14.140625" style="1" customWidth="1"/>
    <col min="2834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22.85546875" style="1" bestFit="1" customWidth="1"/>
    <col min="3083" max="3083" width="21.140625" style="1" bestFit="1" customWidth="1"/>
    <col min="3084" max="3084" width="15" style="1" customWidth="1"/>
    <col min="3085" max="3085" width="14.5703125" style="1" customWidth="1"/>
    <col min="3086" max="3087" width="14.28515625" style="1" customWidth="1"/>
    <col min="3088" max="3089" width="14.140625" style="1" customWidth="1"/>
    <col min="3090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22.85546875" style="1" bestFit="1" customWidth="1"/>
    <col min="3339" max="3339" width="21.140625" style="1" bestFit="1" customWidth="1"/>
    <col min="3340" max="3340" width="15" style="1" customWidth="1"/>
    <col min="3341" max="3341" width="14.5703125" style="1" customWidth="1"/>
    <col min="3342" max="3343" width="14.28515625" style="1" customWidth="1"/>
    <col min="3344" max="3345" width="14.140625" style="1" customWidth="1"/>
    <col min="3346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22.85546875" style="1" bestFit="1" customWidth="1"/>
    <col min="3595" max="3595" width="21.140625" style="1" bestFit="1" customWidth="1"/>
    <col min="3596" max="3596" width="15" style="1" customWidth="1"/>
    <col min="3597" max="3597" width="14.5703125" style="1" customWidth="1"/>
    <col min="3598" max="3599" width="14.28515625" style="1" customWidth="1"/>
    <col min="3600" max="3601" width="14.140625" style="1" customWidth="1"/>
    <col min="3602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22.85546875" style="1" bestFit="1" customWidth="1"/>
    <col min="3851" max="3851" width="21.140625" style="1" bestFit="1" customWidth="1"/>
    <col min="3852" max="3852" width="15" style="1" customWidth="1"/>
    <col min="3853" max="3853" width="14.5703125" style="1" customWidth="1"/>
    <col min="3854" max="3855" width="14.28515625" style="1" customWidth="1"/>
    <col min="3856" max="3857" width="14.140625" style="1" customWidth="1"/>
    <col min="3858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22.85546875" style="1" bestFit="1" customWidth="1"/>
    <col min="4107" max="4107" width="21.140625" style="1" bestFit="1" customWidth="1"/>
    <col min="4108" max="4108" width="15" style="1" customWidth="1"/>
    <col min="4109" max="4109" width="14.5703125" style="1" customWidth="1"/>
    <col min="4110" max="4111" width="14.28515625" style="1" customWidth="1"/>
    <col min="4112" max="4113" width="14.140625" style="1" customWidth="1"/>
    <col min="4114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22.85546875" style="1" bestFit="1" customWidth="1"/>
    <col min="4363" max="4363" width="21.140625" style="1" bestFit="1" customWidth="1"/>
    <col min="4364" max="4364" width="15" style="1" customWidth="1"/>
    <col min="4365" max="4365" width="14.5703125" style="1" customWidth="1"/>
    <col min="4366" max="4367" width="14.28515625" style="1" customWidth="1"/>
    <col min="4368" max="4369" width="14.140625" style="1" customWidth="1"/>
    <col min="4370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22.85546875" style="1" bestFit="1" customWidth="1"/>
    <col min="4619" max="4619" width="21.140625" style="1" bestFit="1" customWidth="1"/>
    <col min="4620" max="4620" width="15" style="1" customWidth="1"/>
    <col min="4621" max="4621" width="14.5703125" style="1" customWidth="1"/>
    <col min="4622" max="4623" width="14.28515625" style="1" customWidth="1"/>
    <col min="4624" max="4625" width="14.140625" style="1" customWidth="1"/>
    <col min="4626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22.85546875" style="1" bestFit="1" customWidth="1"/>
    <col min="4875" max="4875" width="21.140625" style="1" bestFit="1" customWidth="1"/>
    <col min="4876" max="4876" width="15" style="1" customWidth="1"/>
    <col min="4877" max="4877" width="14.5703125" style="1" customWidth="1"/>
    <col min="4878" max="4879" width="14.28515625" style="1" customWidth="1"/>
    <col min="4880" max="4881" width="14.140625" style="1" customWidth="1"/>
    <col min="4882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22.85546875" style="1" bestFit="1" customWidth="1"/>
    <col min="5131" max="5131" width="21.140625" style="1" bestFit="1" customWidth="1"/>
    <col min="5132" max="5132" width="15" style="1" customWidth="1"/>
    <col min="5133" max="5133" width="14.5703125" style="1" customWidth="1"/>
    <col min="5134" max="5135" width="14.28515625" style="1" customWidth="1"/>
    <col min="5136" max="5137" width="14.140625" style="1" customWidth="1"/>
    <col min="5138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22.85546875" style="1" bestFit="1" customWidth="1"/>
    <col min="5387" max="5387" width="21.140625" style="1" bestFit="1" customWidth="1"/>
    <col min="5388" max="5388" width="15" style="1" customWidth="1"/>
    <col min="5389" max="5389" width="14.5703125" style="1" customWidth="1"/>
    <col min="5390" max="5391" width="14.28515625" style="1" customWidth="1"/>
    <col min="5392" max="5393" width="14.140625" style="1" customWidth="1"/>
    <col min="5394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22.85546875" style="1" bestFit="1" customWidth="1"/>
    <col min="5643" max="5643" width="21.140625" style="1" bestFit="1" customWidth="1"/>
    <col min="5644" max="5644" width="15" style="1" customWidth="1"/>
    <col min="5645" max="5645" width="14.5703125" style="1" customWidth="1"/>
    <col min="5646" max="5647" width="14.28515625" style="1" customWidth="1"/>
    <col min="5648" max="5649" width="14.140625" style="1" customWidth="1"/>
    <col min="5650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22.85546875" style="1" bestFit="1" customWidth="1"/>
    <col min="5899" max="5899" width="21.140625" style="1" bestFit="1" customWidth="1"/>
    <col min="5900" max="5900" width="15" style="1" customWidth="1"/>
    <col min="5901" max="5901" width="14.5703125" style="1" customWidth="1"/>
    <col min="5902" max="5903" width="14.28515625" style="1" customWidth="1"/>
    <col min="5904" max="5905" width="14.140625" style="1" customWidth="1"/>
    <col min="5906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22.85546875" style="1" bestFit="1" customWidth="1"/>
    <col min="6155" max="6155" width="21.140625" style="1" bestFit="1" customWidth="1"/>
    <col min="6156" max="6156" width="15" style="1" customWidth="1"/>
    <col min="6157" max="6157" width="14.5703125" style="1" customWidth="1"/>
    <col min="6158" max="6159" width="14.28515625" style="1" customWidth="1"/>
    <col min="6160" max="6161" width="14.140625" style="1" customWidth="1"/>
    <col min="6162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22.85546875" style="1" bestFit="1" customWidth="1"/>
    <col min="6411" max="6411" width="21.140625" style="1" bestFit="1" customWidth="1"/>
    <col min="6412" max="6412" width="15" style="1" customWidth="1"/>
    <col min="6413" max="6413" width="14.5703125" style="1" customWidth="1"/>
    <col min="6414" max="6415" width="14.28515625" style="1" customWidth="1"/>
    <col min="6416" max="6417" width="14.140625" style="1" customWidth="1"/>
    <col min="6418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22.85546875" style="1" bestFit="1" customWidth="1"/>
    <col min="6667" max="6667" width="21.140625" style="1" bestFit="1" customWidth="1"/>
    <col min="6668" max="6668" width="15" style="1" customWidth="1"/>
    <col min="6669" max="6669" width="14.5703125" style="1" customWidth="1"/>
    <col min="6670" max="6671" width="14.28515625" style="1" customWidth="1"/>
    <col min="6672" max="6673" width="14.140625" style="1" customWidth="1"/>
    <col min="6674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22.85546875" style="1" bestFit="1" customWidth="1"/>
    <col min="6923" max="6923" width="21.140625" style="1" bestFit="1" customWidth="1"/>
    <col min="6924" max="6924" width="15" style="1" customWidth="1"/>
    <col min="6925" max="6925" width="14.5703125" style="1" customWidth="1"/>
    <col min="6926" max="6927" width="14.28515625" style="1" customWidth="1"/>
    <col min="6928" max="6929" width="14.140625" style="1" customWidth="1"/>
    <col min="6930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22.85546875" style="1" bestFit="1" customWidth="1"/>
    <col min="7179" max="7179" width="21.140625" style="1" bestFit="1" customWidth="1"/>
    <col min="7180" max="7180" width="15" style="1" customWidth="1"/>
    <col min="7181" max="7181" width="14.5703125" style="1" customWidth="1"/>
    <col min="7182" max="7183" width="14.28515625" style="1" customWidth="1"/>
    <col min="7184" max="7185" width="14.140625" style="1" customWidth="1"/>
    <col min="7186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22.85546875" style="1" bestFit="1" customWidth="1"/>
    <col min="7435" max="7435" width="21.140625" style="1" bestFit="1" customWidth="1"/>
    <col min="7436" max="7436" width="15" style="1" customWidth="1"/>
    <col min="7437" max="7437" width="14.5703125" style="1" customWidth="1"/>
    <col min="7438" max="7439" width="14.28515625" style="1" customWidth="1"/>
    <col min="7440" max="7441" width="14.140625" style="1" customWidth="1"/>
    <col min="7442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22.85546875" style="1" bestFit="1" customWidth="1"/>
    <col min="7691" max="7691" width="21.140625" style="1" bestFit="1" customWidth="1"/>
    <col min="7692" max="7692" width="15" style="1" customWidth="1"/>
    <col min="7693" max="7693" width="14.5703125" style="1" customWidth="1"/>
    <col min="7694" max="7695" width="14.28515625" style="1" customWidth="1"/>
    <col min="7696" max="7697" width="14.140625" style="1" customWidth="1"/>
    <col min="7698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22.85546875" style="1" bestFit="1" customWidth="1"/>
    <col min="7947" max="7947" width="21.140625" style="1" bestFit="1" customWidth="1"/>
    <col min="7948" max="7948" width="15" style="1" customWidth="1"/>
    <col min="7949" max="7949" width="14.5703125" style="1" customWidth="1"/>
    <col min="7950" max="7951" width="14.28515625" style="1" customWidth="1"/>
    <col min="7952" max="7953" width="14.140625" style="1" customWidth="1"/>
    <col min="7954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22.85546875" style="1" bestFit="1" customWidth="1"/>
    <col min="8203" max="8203" width="21.140625" style="1" bestFit="1" customWidth="1"/>
    <col min="8204" max="8204" width="15" style="1" customWidth="1"/>
    <col min="8205" max="8205" width="14.5703125" style="1" customWidth="1"/>
    <col min="8206" max="8207" width="14.28515625" style="1" customWidth="1"/>
    <col min="8208" max="8209" width="14.140625" style="1" customWidth="1"/>
    <col min="8210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22.85546875" style="1" bestFit="1" customWidth="1"/>
    <col min="8459" max="8459" width="21.140625" style="1" bestFit="1" customWidth="1"/>
    <col min="8460" max="8460" width="15" style="1" customWidth="1"/>
    <col min="8461" max="8461" width="14.5703125" style="1" customWidth="1"/>
    <col min="8462" max="8463" width="14.28515625" style="1" customWidth="1"/>
    <col min="8464" max="8465" width="14.140625" style="1" customWidth="1"/>
    <col min="8466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22.85546875" style="1" bestFit="1" customWidth="1"/>
    <col min="8715" max="8715" width="21.140625" style="1" bestFit="1" customWidth="1"/>
    <col min="8716" max="8716" width="15" style="1" customWidth="1"/>
    <col min="8717" max="8717" width="14.5703125" style="1" customWidth="1"/>
    <col min="8718" max="8719" width="14.28515625" style="1" customWidth="1"/>
    <col min="8720" max="8721" width="14.140625" style="1" customWidth="1"/>
    <col min="8722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22.85546875" style="1" bestFit="1" customWidth="1"/>
    <col min="8971" max="8971" width="21.140625" style="1" bestFit="1" customWidth="1"/>
    <col min="8972" max="8972" width="15" style="1" customWidth="1"/>
    <col min="8973" max="8973" width="14.5703125" style="1" customWidth="1"/>
    <col min="8974" max="8975" width="14.28515625" style="1" customWidth="1"/>
    <col min="8976" max="8977" width="14.140625" style="1" customWidth="1"/>
    <col min="8978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22.85546875" style="1" bestFit="1" customWidth="1"/>
    <col min="9227" max="9227" width="21.140625" style="1" bestFit="1" customWidth="1"/>
    <col min="9228" max="9228" width="15" style="1" customWidth="1"/>
    <col min="9229" max="9229" width="14.5703125" style="1" customWidth="1"/>
    <col min="9230" max="9231" width="14.28515625" style="1" customWidth="1"/>
    <col min="9232" max="9233" width="14.140625" style="1" customWidth="1"/>
    <col min="9234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22.85546875" style="1" bestFit="1" customWidth="1"/>
    <col min="9483" max="9483" width="21.140625" style="1" bestFit="1" customWidth="1"/>
    <col min="9484" max="9484" width="15" style="1" customWidth="1"/>
    <col min="9485" max="9485" width="14.5703125" style="1" customWidth="1"/>
    <col min="9486" max="9487" width="14.28515625" style="1" customWidth="1"/>
    <col min="9488" max="9489" width="14.140625" style="1" customWidth="1"/>
    <col min="9490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22.85546875" style="1" bestFit="1" customWidth="1"/>
    <col min="9739" max="9739" width="21.140625" style="1" bestFit="1" customWidth="1"/>
    <col min="9740" max="9740" width="15" style="1" customWidth="1"/>
    <col min="9741" max="9741" width="14.5703125" style="1" customWidth="1"/>
    <col min="9742" max="9743" width="14.28515625" style="1" customWidth="1"/>
    <col min="9744" max="9745" width="14.140625" style="1" customWidth="1"/>
    <col min="9746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22.85546875" style="1" bestFit="1" customWidth="1"/>
    <col min="9995" max="9995" width="21.140625" style="1" bestFit="1" customWidth="1"/>
    <col min="9996" max="9996" width="15" style="1" customWidth="1"/>
    <col min="9997" max="9997" width="14.5703125" style="1" customWidth="1"/>
    <col min="9998" max="9999" width="14.28515625" style="1" customWidth="1"/>
    <col min="10000" max="10001" width="14.140625" style="1" customWidth="1"/>
    <col min="10002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22.85546875" style="1" bestFit="1" customWidth="1"/>
    <col min="10251" max="10251" width="21.140625" style="1" bestFit="1" customWidth="1"/>
    <col min="10252" max="10252" width="15" style="1" customWidth="1"/>
    <col min="10253" max="10253" width="14.5703125" style="1" customWidth="1"/>
    <col min="10254" max="10255" width="14.28515625" style="1" customWidth="1"/>
    <col min="10256" max="10257" width="14.140625" style="1" customWidth="1"/>
    <col min="10258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22.85546875" style="1" bestFit="1" customWidth="1"/>
    <col min="10507" max="10507" width="21.140625" style="1" bestFit="1" customWidth="1"/>
    <col min="10508" max="10508" width="15" style="1" customWidth="1"/>
    <col min="10509" max="10509" width="14.5703125" style="1" customWidth="1"/>
    <col min="10510" max="10511" width="14.28515625" style="1" customWidth="1"/>
    <col min="10512" max="10513" width="14.140625" style="1" customWidth="1"/>
    <col min="10514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22.85546875" style="1" bestFit="1" customWidth="1"/>
    <col min="10763" max="10763" width="21.140625" style="1" bestFit="1" customWidth="1"/>
    <col min="10764" max="10764" width="15" style="1" customWidth="1"/>
    <col min="10765" max="10765" width="14.5703125" style="1" customWidth="1"/>
    <col min="10766" max="10767" width="14.28515625" style="1" customWidth="1"/>
    <col min="10768" max="10769" width="14.140625" style="1" customWidth="1"/>
    <col min="10770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22.85546875" style="1" bestFit="1" customWidth="1"/>
    <col min="11019" max="11019" width="21.140625" style="1" bestFit="1" customWidth="1"/>
    <col min="11020" max="11020" width="15" style="1" customWidth="1"/>
    <col min="11021" max="11021" width="14.5703125" style="1" customWidth="1"/>
    <col min="11022" max="11023" width="14.28515625" style="1" customWidth="1"/>
    <col min="11024" max="11025" width="14.140625" style="1" customWidth="1"/>
    <col min="11026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22.85546875" style="1" bestFit="1" customWidth="1"/>
    <col min="11275" max="11275" width="21.140625" style="1" bestFit="1" customWidth="1"/>
    <col min="11276" max="11276" width="15" style="1" customWidth="1"/>
    <col min="11277" max="11277" width="14.5703125" style="1" customWidth="1"/>
    <col min="11278" max="11279" width="14.28515625" style="1" customWidth="1"/>
    <col min="11280" max="11281" width="14.140625" style="1" customWidth="1"/>
    <col min="11282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22.85546875" style="1" bestFit="1" customWidth="1"/>
    <col min="11531" max="11531" width="21.140625" style="1" bestFit="1" customWidth="1"/>
    <col min="11532" max="11532" width="15" style="1" customWidth="1"/>
    <col min="11533" max="11533" width="14.5703125" style="1" customWidth="1"/>
    <col min="11534" max="11535" width="14.28515625" style="1" customWidth="1"/>
    <col min="11536" max="11537" width="14.140625" style="1" customWidth="1"/>
    <col min="11538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22.85546875" style="1" bestFit="1" customWidth="1"/>
    <col min="11787" max="11787" width="21.140625" style="1" bestFit="1" customWidth="1"/>
    <col min="11788" max="11788" width="15" style="1" customWidth="1"/>
    <col min="11789" max="11789" width="14.5703125" style="1" customWidth="1"/>
    <col min="11790" max="11791" width="14.28515625" style="1" customWidth="1"/>
    <col min="11792" max="11793" width="14.140625" style="1" customWidth="1"/>
    <col min="11794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22.85546875" style="1" bestFit="1" customWidth="1"/>
    <col min="12043" max="12043" width="21.140625" style="1" bestFit="1" customWidth="1"/>
    <col min="12044" max="12044" width="15" style="1" customWidth="1"/>
    <col min="12045" max="12045" width="14.5703125" style="1" customWidth="1"/>
    <col min="12046" max="12047" width="14.28515625" style="1" customWidth="1"/>
    <col min="12048" max="12049" width="14.140625" style="1" customWidth="1"/>
    <col min="12050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22.85546875" style="1" bestFit="1" customWidth="1"/>
    <col min="12299" max="12299" width="21.140625" style="1" bestFit="1" customWidth="1"/>
    <col min="12300" max="12300" width="15" style="1" customWidth="1"/>
    <col min="12301" max="12301" width="14.5703125" style="1" customWidth="1"/>
    <col min="12302" max="12303" width="14.28515625" style="1" customWidth="1"/>
    <col min="12304" max="12305" width="14.140625" style="1" customWidth="1"/>
    <col min="12306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22.85546875" style="1" bestFit="1" customWidth="1"/>
    <col min="12555" max="12555" width="21.140625" style="1" bestFit="1" customWidth="1"/>
    <col min="12556" max="12556" width="15" style="1" customWidth="1"/>
    <col min="12557" max="12557" width="14.5703125" style="1" customWidth="1"/>
    <col min="12558" max="12559" width="14.28515625" style="1" customWidth="1"/>
    <col min="12560" max="12561" width="14.140625" style="1" customWidth="1"/>
    <col min="12562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22.85546875" style="1" bestFit="1" customWidth="1"/>
    <col min="12811" max="12811" width="21.140625" style="1" bestFit="1" customWidth="1"/>
    <col min="12812" max="12812" width="15" style="1" customWidth="1"/>
    <col min="12813" max="12813" width="14.5703125" style="1" customWidth="1"/>
    <col min="12814" max="12815" width="14.28515625" style="1" customWidth="1"/>
    <col min="12816" max="12817" width="14.140625" style="1" customWidth="1"/>
    <col min="12818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22.85546875" style="1" bestFit="1" customWidth="1"/>
    <col min="13067" max="13067" width="21.140625" style="1" bestFit="1" customWidth="1"/>
    <col min="13068" max="13068" width="15" style="1" customWidth="1"/>
    <col min="13069" max="13069" width="14.5703125" style="1" customWidth="1"/>
    <col min="13070" max="13071" width="14.28515625" style="1" customWidth="1"/>
    <col min="13072" max="13073" width="14.140625" style="1" customWidth="1"/>
    <col min="13074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22.85546875" style="1" bestFit="1" customWidth="1"/>
    <col min="13323" max="13323" width="21.140625" style="1" bestFit="1" customWidth="1"/>
    <col min="13324" max="13324" width="15" style="1" customWidth="1"/>
    <col min="13325" max="13325" width="14.5703125" style="1" customWidth="1"/>
    <col min="13326" max="13327" width="14.28515625" style="1" customWidth="1"/>
    <col min="13328" max="13329" width="14.140625" style="1" customWidth="1"/>
    <col min="13330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22.85546875" style="1" bestFit="1" customWidth="1"/>
    <col min="13579" max="13579" width="21.140625" style="1" bestFit="1" customWidth="1"/>
    <col min="13580" max="13580" width="15" style="1" customWidth="1"/>
    <col min="13581" max="13581" width="14.5703125" style="1" customWidth="1"/>
    <col min="13582" max="13583" width="14.28515625" style="1" customWidth="1"/>
    <col min="13584" max="13585" width="14.140625" style="1" customWidth="1"/>
    <col min="13586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22.85546875" style="1" bestFit="1" customWidth="1"/>
    <col min="13835" max="13835" width="21.140625" style="1" bestFit="1" customWidth="1"/>
    <col min="13836" max="13836" width="15" style="1" customWidth="1"/>
    <col min="13837" max="13837" width="14.5703125" style="1" customWidth="1"/>
    <col min="13838" max="13839" width="14.28515625" style="1" customWidth="1"/>
    <col min="13840" max="13841" width="14.140625" style="1" customWidth="1"/>
    <col min="13842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22.85546875" style="1" bestFit="1" customWidth="1"/>
    <col min="14091" max="14091" width="21.140625" style="1" bestFit="1" customWidth="1"/>
    <col min="14092" max="14092" width="15" style="1" customWidth="1"/>
    <col min="14093" max="14093" width="14.5703125" style="1" customWidth="1"/>
    <col min="14094" max="14095" width="14.28515625" style="1" customWidth="1"/>
    <col min="14096" max="14097" width="14.140625" style="1" customWidth="1"/>
    <col min="14098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22.85546875" style="1" bestFit="1" customWidth="1"/>
    <col min="14347" max="14347" width="21.140625" style="1" bestFit="1" customWidth="1"/>
    <col min="14348" max="14348" width="15" style="1" customWidth="1"/>
    <col min="14349" max="14349" width="14.5703125" style="1" customWidth="1"/>
    <col min="14350" max="14351" width="14.28515625" style="1" customWidth="1"/>
    <col min="14352" max="14353" width="14.140625" style="1" customWidth="1"/>
    <col min="14354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22.85546875" style="1" bestFit="1" customWidth="1"/>
    <col min="14603" max="14603" width="21.140625" style="1" bestFit="1" customWidth="1"/>
    <col min="14604" max="14604" width="15" style="1" customWidth="1"/>
    <col min="14605" max="14605" width="14.5703125" style="1" customWidth="1"/>
    <col min="14606" max="14607" width="14.28515625" style="1" customWidth="1"/>
    <col min="14608" max="14609" width="14.140625" style="1" customWidth="1"/>
    <col min="14610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22.85546875" style="1" bestFit="1" customWidth="1"/>
    <col min="14859" max="14859" width="21.140625" style="1" bestFit="1" customWidth="1"/>
    <col min="14860" max="14860" width="15" style="1" customWidth="1"/>
    <col min="14861" max="14861" width="14.5703125" style="1" customWidth="1"/>
    <col min="14862" max="14863" width="14.28515625" style="1" customWidth="1"/>
    <col min="14864" max="14865" width="14.140625" style="1" customWidth="1"/>
    <col min="14866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22.85546875" style="1" bestFit="1" customWidth="1"/>
    <col min="15115" max="15115" width="21.140625" style="1" bestFit="1" customWidth="1"/>
    <col min="15116" max="15116" width="15" style="1" customWidth="1"/>
    <col min="15117" max="15117" width="14.5703125" style="1" customWidth="1"/>
    <col min="15118" max="15119" width="14.28515625" style="1" customWidth="1"/>
    <col min="15120" max="15121" width="14.140625" style="1" customWidth="1"/>
    <col min="15122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22.85546875" style="1" bestFit="1" customWidth="1"/>
    <col min="15371" max="15371" width="21.140625" style="1" bestFit="1" customWidth="1"/>
    <col min="15372" max="15372" width="15" style="1" customWidth="1"/>
    <col min="15373" max="15373" width="14.5703125" style="1" customWidth="1"/>
    <col min="15374" max="15375" width="14.28515625" style="1" customWidth="1"/>
    <col min="15376" max="15377" width="14.140625" style="1" customWidth="1"/>
    <col min="15378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22.85546875" style="1" bestFit="1" customWidth="1"/>
    <col min="15627" max="15627" width="21.140625" style="1" bestFit="1" customWidth="1"/>
    <col min="15628" max="15628" width="15" style="1" customWidth="1"/>
    <col min="15629" max="15629" width="14.5703125" style="1" customWidth="1"/>
    <col min="15630" max="15631" width="14.28515625" style="1" customWidth="1"/>
    <col min="15632" max="15633" width="14.140625" style="1" customWidth="1"/>
    <col min="15634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22.85546875" style="1" bestFit="1" customWidth="1"/>
    <col min="15883" max="15883" width="21.140625" style="1" bestFit="1" customWidth="1"/>
    <col min="15884" max="15884" width="15" style="1" customWidth="1"/>
    <col min="15885" max="15885" width="14.5703125" style="1" customWidth="1"/>
    <col min="15886" max="15887" width="14.28515625" style="1" customWidth="1"/>
    <col min="15888" max="15889" width="14.140625" style="1" customWidth="1"/>
    <col min="15890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22.85546875" style="1" bestFit="1" customWidth="1"/>
    <col min="16139" max="16139" width="21.140625" style="1" bestFit="1" customWidth="1"/>
    <col min="16140" max="16140" width="15" style="1" customWidth="1"/>
    <col min="16141" max="16141" width="14.5703125" style="1" customWidth="1"/>
    <col min="16142" max="16143" width="14.28515625" style="1" customWidth="1"/>
    <col min="16144" max="16145" width="14.140625" style="1" customWidth="1"/>
    <col min="16146" max="16384" width="21.5703125" style="1"/>
  </cols>
  <sheetData>
    <row r="1" spans="2:17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2"/>
      <c r="P1" s="2"/>
      <c r="Q1" s="72"/>
    </row>
    <row r="2" spans="2:17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2"/>
      <c r="P2" s="2"/>
    </row>
    <row r="3" spans="2:17" ht="15.75" x14ac:dyDescent="0.25">
      <c r="E3" s="77">
        <v>2019</v>
      </c>
      <c r="F3" s="3"/>
      <c r="G3" s="3"/>
      <c r="H3" s="7"/>
      <c r="I3" s="3"/>
      <c r="J3" s="7"/>
      <c r="K3" s="7"/>
      <c r="L3" s="7"/>
      <c r="M3" s="7"/>
      <c r="N3" s="7"/>
      <c r="O3" s="7"/>
      <c r="P3" s="7"/>
    </row>
    <row r="4" spans="2:17" ht="16.5" thickBot="1" x14ac:dyDescent="0.3">
      <c r="F4" s="5"/>
      <c r="G4" s="9"/>
      <c r="H4" s="9"/>
      <c r="I4" s="9"/>
      <c r="J4" s="9"/>
      <c r="K4" s="9"/>
      <c r="L4" s="9"/>
      <c r="M4" s="9"/>
      <c r="N4" s="9"/>
      <c r="Q4" s="76" t="s">
        <v>54</v>
      </c>
    </row>
    <row r="5" spans="2:17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61</v>
      </c>
      <c r="K5" s="12" t="s">
        <v>60</v>
      </c>
      <c r="L5" s="12" t="s">
        <v>8</v>
      </c>
      <c r="M5" s="12" t="s">
        <v>9</v>
      </c>
      <c r="N5" s="12" t="s">
        <v>10</v>
      </c>
      <c r="O5" s="12" t="s">
        <v>11</v>
      </c>
      <c r="P5" s="13" t="s">
        <v>59</v>
      </c>
      <c r="Q5" s="63" t="s">
        <v>56</v>
      </c>
    </row>
    <row r="6" spans="2:17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8"/>
      <c r="Q6" s="64"/>
    </row>
    <row r="7" spans="2:17" ht="15.75" x14ac:dyDescent="0.25">
      <c r="E7" s="20" t="s">
        <v>13</v>
      </c>
      <c r="F7" s="16">
        <f>G7+H7+I7+J7+K7+L7+M7+N7+O7+P7+Q7</f>
        <v>149452887.34999999</v>
      </c>
      <c r="G7" s="16">
        <v>801462</v>
      </c>
      <c r="H7" s="16">
        <v>25550223</v>
      </c>
      <c r="I7" s="16">
        <v>1500.35</v>
      </c>
      <c r="J7" s="16">
        <v>47333710</v>
      </c>
      <c r="K7" s="16">
        <v>12822966</v>
      </c>
      <c r="L7" s="16">
        <v>387969</v>
      </c>
      <c r="M7" s="16">
        <v>936262</v>
      </c>
      <c r="N7" s="16">
        <v>48947729</v>
      </c>
      <c r="O7" s="16">
        <v>12642236</v>
      </c>
      <c r="P7" s="16">
        <v>0</v>
      </c>
      <c r="Q7" s="66">
        <v>28830</v>
      </c>
    </row>
    <row r="8" spans="2:17" ht="15.75" x14ac:dyDescent="0.25"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66"/>
    </row>
    <row r="9" spans="2:17" ht="15.75" x14ac:dyDescent="0.25">
      <c r="E9" s="20" t="s">
        <v>14</v>
      </c>
      <c r="F9" s="16">
        <f>G9+H9+I9+J9+K9+L9+M9+N9+O9+P9+Q9</f>
        <v>8023417</v>
      </c>
      <c r="G9" s="16">
        <v>1050</v>
      </c>
      <c r="H9" s="16">
        <v>1202045</v>
      </c>
      <c r="I9" s="16">
        <v>5097</v>
      </c>
      <c r="J9" s="16">
        <v>1359140</v>
      </c>
      <c r="K9" s="16">
        <v>594891</v>
      </c>
      <c r="L9" s="16">
        <v>4837890</v>
      </c>
      <c r="M9" s="16">
        <v>0</v>
      </c>
      <c r="N9" s="16">
        <v>0</v>
      </c>
      <c r="O9" s="16">
        <v>0</v>
      </c>
      <c r="P9" s="16">
        <v>0</v>
      </c>
      <c r="Q9" s="66">
        <v>23304</v>
      </c>
    </row>
    <row r="10" spans="2:17" ht="15.75" x14ac:dyDescent="0.25"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66"/>
    </row>
    <row r="11" spans="2:17" ht="15.75" x14ac:dyDescent="0.25">
      <c r="B11" s="21"/>
      <c r="C11" s="21"/>
      <c r="D11" s="21"/>
      <c r="E11" s="20" t="s">
        <v>15</v>
      </c>
      <c r="F11" s="16">
        <f>G11+H11+I11+J11+K11+L11+M11+N11+O11+P11+Q11</f>
        <v>68744506.269999996</v>
      </c>
      <c r="G11" s="16">
        <v>279757</v>
      </c>
      <c r="H11" s="16">
        <v>10115981</v>
      </c>
      <c r="I11" s="16">
        <v>200.27</v>
      </c>
      <c r="J11" s="16">
        <v>18987046</v>
      </c>
      <c r="K11" s="16">
        <v>5740665</v>
      </c>
      <c r="L11" s="16">
        <v>530867</v>
      </c>
      <c r="M11" s="16">
        <v>577566</v>
      </c>
      <c r="N11" s="16">
        <v>27108230</v>
      </c>
      <c r="O11" s="16">
        <v>5404194</v>
      </c>
      <c r="P11" s="16">
        <v>0</v>
      </c>
      <c r="Q11" s="66">
        <v>0</v>
      </c>
    </row>
    <row r="12" spans="2:17" ht="15.75" x14ac:dyDescent="0.25"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6"/>
    </row>
    <row r="13" spans="2:17" ht="15.75" x14ac:dyDescent="0.25">
      <c r="E13" s="20" t="s">
        <v>17</v>
      </c>
      <c r="F13" s="16">
        <f>G13+H13+I13+J13+K13+L13+M13+N13+O13+P13+Q13</f>
        <v>5443348</v>
      </c>
      <c r="G13" s="16">
        <v>0</v>
      </c>
      <c r="H13" s="16">
        <v>569905</v>
      </c>
      <c r="I13" s="16">
        <v>0</v>
      </c>
      <c r="J13" s="16">
        <v>1380717</v>
      </c>
      <c r="K13" s="16">
        <v>710699</v>
      </c>
      <c r="L13" s="16">
        <v>2782027</v>
      </c>
      <c r="M13" s="16">
        <v>0</v>
      </c>
      <c r="N13" s="16">
        <v>0</v>
      </c>
      <c r="O13" s="16">
        <v>0</v>
      </c>
      <c r="P13" s="16">
        <v>0</v>
      </c>
      <c r="Q13" s="66">
        <v>0</v>
      </c>
    </row>
    <row r="14" spans="2:17" ht="15.75" x14ac:dyDescent="0.25"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66"/>
    </row>
    <row r="15" spans="2:17" ht="15.75" x14ac:dyDescent="0.25">
      <c r="E15" s="20" t="s">
        <v>18</v>
      </c>
      <c r="F15" s="16">
        <f>G15+H15+I15+J15+K15+L15+M15+N15+O15+P15+Q15</f>
        <v>13415499</v>
      </c>
      <c r="G15" s="16">
        <v>0</v>
      </c>
      <c r="H15" s="16">
        <v>1159847</v>
      </c>
      <c r="I15" s="16">
        <v>0</v>
      </c>
      <c r="J15" s="16">
        <v>3437930</v>
      </c>
      <c r="K15" s="16">
        <v>1784668</v>
      </c>
      <c r="L15" s="16">
        <v>6660846</v>
      </c>
      <c r="M15" s="16">
        <v>372208</v>
      </c>
      <c r="N15" s="16">
        <v>0</v>
      </c>
      <c r="O15" s="16">
        <v>0</v>
      </c>
      <c r="P15" s="16">
        <v>0</v>
      </c>
      <c r="Q15" s="66">
        <v>0</v>
      </c>
    </row>
    <row r="16" spans="2:17" ht="15.75" x14ac:dyDescent="0.25"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66"/>
    </row>
    <row r="17" spans="5:17" ht="15.75" x14ac:dyDescent="0.25">
      <c r="E17" s="20" t="s">
        <v>19</v>
      </c>
      <c r="F17" s="16">
        <f>G17+H17+I17+J17+K17+L17+M17+N17+O17+P17+Q17</f>
        <v>24052715</v>
      </c>
      <c r="G17" s="16">
        <v>0</v>
      </c>
      <c r="H17" s="16">
        <v>2800751</v>
      </c>
      <c r="I17" s="16">
        <v>0</v>
      </c>
      <c r="J17" s="16">
        <v>7015582</v>
      </c>
      <c r="K17" s="16">
        <v>1616100</v>
      </c>
      <c r="L17" s="16">
        <v>378967</v>
      </c>
      <c r="M17" s="16">
        <v>354319</v>
      </c>
      <c r="N17" s="16">
        <v>8854754</v>
      </c>
      <c r="O17" s="16">
        <v>3017395</v>
      </c>
      <c r="P17" s="16">
        <v>0</v>
      </c>
      <c r="Q17" s="66">
        <v>14847</v>
      </c>
    </row>
    <row r="18" spans="5:17" ht="15.75" x14ac:dyDescent="0.25"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66"/>
    </row>
    <row r="19" spans="5:17" ht="15.75" x14ac:dyDescent="0.25">
      <c r="E19" s="20" t="s">
        <v>20</v>
      </c>
      <c r="F19" s="16">
        <f>G19+H19+I19+J19+K19+L19+M19+N19+O19+P19+Q19</f>
        <v>19608493</v>
      </c>
      <c r="G19" s="16">
        <v>0</v>
      </c>
      <c r="H19" s="16">
        <v>2727289</v>
      </c>
      <c r="I19" s="16">
        <v>0</v>
      </c>
      <c r="J19" s="16">
        <v>5334315</v>
      </c>
      <c r="K19" s="16">
        <v>2699543</v>
      </c>
      <c r="L19" s="16">
        <v>195048</v>
      </c>
      <c r="M19" s="16">
        <v>21630</v>
      </c>
      <c r="N19" s="16">
        <v>8630668</v>
      </c>
      <c r="O19" s="16">
        <v>0</v>
      </c>
      <c r="P19" s="16">
        <v>0</v>
      </c>
      <c r="Q19" s="66">
        <v>0</v>
      </c>
    </row>
    <row r="20" spans="5:17" ht="15.75" x14ac:dyDescent="0.25"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66"/>
    </row>
    <row r="21" spans="5:17" ht="15.75" x14ac:dyDescent="0.25">
      <c r="E21" s="20" t="s">
        <v>21</v>
      </c>
      <c r="F21" s="16">
        <f>G21+H21+I21+J21+K21+L21+M21+N21+O21+P21+Q21</f>
        <v>4031969</v>
      </c>
      <c r="G21" s="16">
        <v>0</v>
      </c>
      <c r="H21" s="16">
        <v>664156</v>
      </c>
      <c r="I21" s="16">
        <v>0</v>
      </c>
      <c r="J21" s="16">
        <v>1466273</v>
      </c>
      <c r="K21" s="16">
        <v>363557</v>
      </c>
      <c r="L21" s="16">
        <v>1537983</v>
      </c>
      <c r="M21" s="16">
        <v>0</v>
      </c>
      <c r="N21" s="16">
        <v>0</v>
      </c>
      <c r="O21" s="16">
        <v>0</v>
      </c>
      <c r="P21" s="16">
        <v>0</v>
      </c>
      <c r="Q21" s="66">
        <v>0</v>
      </c>
    </row>
    <row r="22" spans="5:17" ht="15.75" x14ac:dyDescent="0.25"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66"/>
    </row>
    <row r="23" spans="5:17" ht="15.75" x14ac:dyDescent="0.25">
      <c r="E23" s="20" t="s">
        <v>22</v>
      </c>
      <c r="F23" s="16">
        <f>G23+H23+I23+J23+K23+L23+M23+N23+O23+P23+Q23</f>
        <v>605702</v>
      </c>
      <c r="G23" s="16">
        <v>0</v>
      </c>
      <c r="H23" s="16">
        <v>19304</v>
      </c>
      <c r="I23" s="16">
        <v>0</v>
      </c>
      <c r="J23" s="16">
        <v>120354</v>
      </c>
      <c r="K23" s="16">
        <v>23887</v>
      </c>
      <c r="L23" s="16">
        <v>442157</v>
      </c>
      <c r="M23" s="16">
        <v>0</v>
      </c>
      <c r="N23" s="16">
        <v>0</v>
      </c>
      <c r="O23" s="16">
        <v>0</v>
      </c>
      <c r="P23" s="16">
        <v>0</v>
      </c>
      <c r="Q23" s="66">
        <v>0</v>
      </c>
    </row>
    <row r="24" spans="5:17" ht="15.75" x14ac:dyDescent="0.25">
      <c r="E24" s="2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66"/>
    </row>
    <row r="25" spans="5:17" ht="15.75" x14ac:dyDescent="0.25">
      <c r="E25" s="65" t="s">
        <v>3</v>
      </c>
      <c r="F25" s="16">
        <f>G25+H25+I25+J25+K25+L25+M25+N25+O25+P25+Q25</f>
        <v>293378536.62</v>
      </c>
      <c r="G25" s="16">
        <f t="shared" ref="G25:Q25" si="0">G7+G9+G11+G13+G15+G17+G19+G21+G23</f>
        <v>1082269</v>
      </c>
      <c r="H25" s="16">
        <f t="shared" si="0"/>
        <v>44809501</v>
      </c>
      <c r="I25" s="16">
        <f t="shared" si="0"/>
        <v>6797.6200000000008</v>
      </c>
      <c r="J25" s="16">
        <f t="shared" si="0"/>
        <v>86435067</v>
      </c>
      <c r="K25" s="16">
        <f>K7+K9+K11+K13+K15+K17+K19+K21+K23</f>
        <v>26356976</v>
      </c>
      <c r="L25" s="16">
        <f t="shared" si="0"/>
        <v>17753754</v>
      </c>
      <c r="M25" s="16">
        <f t="shared" si="0"/>
        <v>2261985</v>
      </c>
      <c r="N25" s="16">
        <f t="shared" si="0"/>
        <v>93541381</v>
      </c>
      <c r="O25" s="16">
        <f t="shared" si="0"/>
        <v>21063825</v>
      </c>
      <c r="P25" s="16">
        <f>P7+P9+P11+P13+P15+P17+P19+P21+P23</f>
        <v>0</v>
      </c>
      <c r="Q25" s="66">
        <f t="shared" si="0"/>
        <v>66981</v>
      </c>
    </row>
    <row r="26" spans="5:17" ht="16.5" thickBot="1" x14ac:dyDescent="0.3"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67"/>
    </row>
    <row r="27" spans="5:17" ht="16.5" thickTop="1" x14ac:dyDescent="0.25"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7"/>
    </row>
    <row r="28" spans="5:17" ht="15.75" x14ac:dyDescent="0.25">
      <c r="E28" s="33" t="s">
        <v>23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</row>
    <row r="29" spans="5:17" ht="15.75" x14ac:dyDescent="0.25"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7" ht="15.75" x14ac:dyDescent="0.25">
      <c r="F30" s="34"/>
      <c r="G30" s="35"/>
      <c r="H30" s="35"/>
      <c r="I30" s="35"/>
      <c r="J30" s="35"/>
      <c r="K30" s="35"/>
      <c r="L30" s="35"/>
      <c r="M30" s="35"/>
      <c r="N30" s="35"/>
      <c r="O30" s="35"/>
    </row>
    <row r="31" spans="5:17" ht="15.75" x14ac:dyDescent="0.25">
      <c r="E31" s="2" t="s">
        <v>0</v>
      </c>
      <c r="F31" s="3"/>
      <c r="G31" s="3"/>
      <c r="H31" s="7"/>
      <c r="I31" s="3"/>
      <c r="J31" s="7"/>
      <c r="K31" s="7"/>
      <c r="L31" s="7"/>
      <c r="M31" s="7"/>
      <c r="N31" s="7"/>
      <c r="O31" s="7"/>
      <c r="P31" s="7"/>
    </row>
    <row r="32" spans="5:17" ht="15.75" x14ac:dyDescent="0.25">
      <c r="F32" s="36"/>
      <c r="G32" s="37"/>
      <c r="H32" s="38"/>
      <c r="I32" s="38"/>
      <c r="J32" s="39" t="s">
        <v>1</v>
      </c>
      <c r="K32" s="39"/>
      <c r="L32" s="38"/>
      <c r="M32" s="38"/>
      <c r="N32" s="38"/>
      <c r="O32" s="38"/>
      <c r="P32" s="38"/>
    </row>
    <row r="33" spans="5:17" ht="15.75" x14ac:dyDescent="0.25">
      <c r="E33" s="77">
        <v>2019</v>
      </c>
      <c r="F33" s="3"/>
      <c r="G33" s="3"/>
      <c r="H33" s="7"/>
      <c r="I33" s="3"/>
      <c r="J33" s="7"/>
      <c r="K33" s="7"/>
      <c r="L33" s="7"/>
      <c r="M33" s="7"/>
      <c r="N33" s="7"/>
      <c r="O33" s="7"/>
      <c r="P33" s="7"/>
    </row>
    <row r="34" spans="5:17" ht="16.5" thickBot="1" x14ac:dyDescent="0.3">
      <c r="F34" s="36"/>
      <c r="G34" s="38"/>
      <c r="H34" s="38"/>
      <c r="I34" s="38"/>
      <c r="J34" s="38"/>
      <c r="K34" s="38"/>
      <c r="L34" s="38"/>
      <c r="M34" s="38"/>
      <c r="N34" s="38"/>
      <c r="Q34" s="76" t="s">
        <v>54</v>
      </c>
    </row>
    <row r="35" spans="5:17" ht="15.95" customHeight="1" thickTop="1" x14ac:dyDescent="0.25">
      <c r="E35" s="41" t="s">
        <v>24</v>
      </c>
      <c r="F35" s="42" t="s">
        <v>3</v>
      </c>
      <c r="G35" s="62" t="s">
        <v>43</v>
      </c>
      <c r="H35" s="62" t="s">
        <v>40</v>
      </c>
      <c r="I35" s="43" t="s">
        <v>6</v>
      </c>
      <c r="J35" s="43" t="s">
        <v>61</v>
      </c>
      <c r="K35" s="12" t="s">
        <v>60</v>
      </c>
      <c r="L35" s="43" t="s">
        <v>8</v>
      </c>
      <c r="M35" s="43" t="s">
        <v>25</v>
      </c>
      <c r="N35" s="44" t="s">
        <v>10</v>
      </c>
      <c r="O35" s="12" t="s">
        <v>11</v>
      </c>
      <c r="P35" s="13" t="s">
        <v>59</v>
      </c>
      <c r="Q35" s="63" t="s">
        <v>56</v>
      </c>
    </row>
    <row r="36" spans="5:17" ht="15.95" customHeight="1" x14ac:dyDescent="0.25">
      <c r="E36" s="45"/>
      <c r="F36" s="46"/>
      <c r="G36" s="46"/>
      <c r="H36" s="46"/>
      <c r="I36" s="46"/>
      <c r="J36" s="46"/>
      <c r="K36" s="46"/>
      <c r="L36" s="46"/>
      <c r="M36" s="46"/>
      <c r="N36" s="78"/>
      <c r="O36" s="46"/>
      <c r="P36" s="78"/>
      <c r="Q36" s="79"/>
    </row>
    <row r="37" spans="5:17" ht="15.95" customHeight="1" x14ac:dyDescent="0.25">
      <c r="E37" s="45" t="s">
        <v>26</v>
      </c>
      <c r="F37" s="49">
        <f>SUM(G37:Q37)</f>
        <v>22580146</v>
      </c>
      <c r="G37" s="49">
        <v>73183</v>
      </c>
      <c r="H37" s="49">
        <v>3257812</v>
      </c>
      <c r="I37" s="49">
        <v>0</v>
      </c>
      <c r="J37" s="49">
        <v>6748380</v>
      </c>
      <c r="K37" s="49">
        <v>1629862</v>
      </c>
      <c r="L37" s="49">
        <v>1595223</v>
      </c>
      <c r="M37" s="80">
        <v>145654</v>
      </c>
      <c r="N37" s="80">
        <v>8126335</v>
      </c>
      <c r="O37" s="49">
        <v>1003697</v>
      </c>
      <c r="P37" s="83"/>
      <c r="Q37" s="81"/>
    </row>
    <row r="38" spans="5:17" ht="15.95" customHeight="1" x14ac:dyDescent="0.25">
      <c r="E38" s="45" t="s">
        <v>27</v>
      </c>
      <c r="F38" s="49">
        <f>SUM(G38:Q38)</f>
        <v>20252968</v>
      </c>
      <c r="G38" s="49">
        <v>67671</v>
      </c>
      <c r="H38" s="49">
        <v>2943868</v>
      </c>
      <c r="I38" s="49">
        <v>2000</v>
      </c>
      <c r="J38" s="49">
        <v>6307558</v>
      </c>
      <c r="K38" s="49">
        <v>1507723</v>
      </c>
      <c r="L38" s="49">
        <v>1336509</v>
      </c>
      <c r="M38" s="80">
        <v>240368</v>
      </c>
      <c r="N38" s="80">
        <v>6095909</v>
      </c>
      <c r="O38" s="49">
        <v>1743034</v>
      </c>
      <c r="P38" s="83">
        <v>0</v>
      </c>
      <c r="Q38" s="81">
        <v>8328</v>
      </c>
    </row>
    <row r="39" spans="5:17" ht="15.95" customHeight="1" x14ac:dyDescent="0.25">
      <c r="E39" s="45" t="s">
        <v>28</v>
      </c>
      <c r="F39" s="49">
        <f>SUM(G39:Q39)</f>
        <v>23621137</v>
      </c>
      <c r="G39" s="49">
        <v>100691</v>
      </c>
      <c r="H39" s="49">
        <v>3230261</v>
      </c>
      <c r="I39" s="49">
        <v>2500</v>
      </c>
      <c r="J39" s="49">
        <v>7023297</v>
      </c>
      <c r="K39" s="49">
        <v>2135886</v>
      </c>
      <c r="L39" s="49">
        <v>1362361</v>
      </c>
      <c r="M39" s="80">
        <v>159443</v>
      </c>
      <c r="N39" s="80">
        <v>7492857</v>
      </c>
      <c r="O39" s="49">
        <v>2088203</v>
      </c>
      <c r="P39" s="83">
        <v>0</v>
      </c>
      <c r="Q39" s="81">
        <v>25638</v>
      </c>
    </row>
    <row r="40" spans="5:17" ht="15.95" customHeight="1" x14ac:dyDescent="0.25">
      <c r="E40" s="45"/>
      <c r="F40" s="49">
        <f t="shared" ref="F40:L40" si="1">F37+F38+F39</f>
        <v>66454251</v>
      </c>
      <c r="G40" s="49">
        <f t="shared" si="1"/>
        <v>241545</v>
      </c>
      <c r="H40" s="49">
        <f t="shared" si="1"/>
        <v>9431941</v>
      </c>
      <c r="I40" s="49">
        <f t="shared" si="1"/>
        <v>4500</v>
      </c>
      <c r="J40" s="49">
        <f t="shared" si="1"/>
        <v>20079235</v>
      </c>
      <c r="K40" s="49">
        <f t="shared" si="1"/>
        <v>5273471</v>
      </c>
      <c r="L40" s="49">
        <f t="shared" si="1"/>
        <v>4294093</v>
      </c>
      <c r="M40" s="80">
        <f>SUM(M37:M39)</f>
        <v>545465</v>
      </c>
      <c r="N40" s="80">
        <f>SUM(N37:N39)</f>
        <v>21715101</v>
      </c>
      <c r="O40" s="49">
        <f>O37+O38+O39</f>
        <v>4834934</v>
      </c>
      <c r="P40" s="49">
        <f>P37+P38+P39</f>
        <v>0</v>
      </c>
      <c r="Q40" s="81">
        <f>Q37+Q38+Q39</f>
        <v>33966</v>
      </c>
    </row>
    <row r="41" spans="5:17" ht="15.95" customHeight="1" x14ac:dyDescent="0.25">
      <c r="E41" s="45" t="s">
        <v>29</v>
      </c>
      <c r="F41" s="49">
        <f>SUM(G41:Q41)</f>
        <v>24324907</v>
      </c>
      <c r="G41" s="49">
        <v>98353</v>
      </c>
      <c r="H41" s="49">
        <v>3913604</v>
      </c>
      <c r="I41" s="49">
        <v>0</v>
      </c>
      <c r="J41" s="49">
        <v>7196773</v>
      </c>
      <c r="K41" s="49">
        <v>2287980</v>
      </c>
      <c r="L41" s="49">
        <v>1455646</v>
      </c>
      <c r="M41" s="80">
        <v>214996</v>
      </c>
      <c r="N41" s="80">
        <v>7138805</v>
      </c>
      <c r="O41" s="49">
        <v>2009417</v>
      </c>
      <c r="P41" s="83">
        <v>0</v>
      </c>
      <c r="Q41" s="81">
        <v>9333</v>
      </c>
    </row>
    <row r="42" spans="5:17" ht="15.95" customHeight="1" x14ac:dyDescent="0.25">
      <c r="E42" s="45" t="s">
        <v>30</v>
      </c>
      <c r="F42" s="49">
        <f>SUM(G42:Q42)</f>
        <v>26495010</v>
      </c>
      <c r="G42" s="49">
        <v>88731</v>
      </c>
      <c r="H42" s="49">
        <v>3887721</v>
      </c>
      <c r="I42" s="49">
        <v>0</v>
      </c>
      <c r="J42" s="49">
        <v>8034891</v>
      </c>
      <c r="K42" s="49">
        <v>3016325</v>
      </c>
      <c r="L42" s="49">
        <v>1453988</v>
      </c>
      <c r="M42" s="80">
        <v>203803</v>
      </c>
      <c r="N42" s="80">
        <v>6845530</v>
      </c>
      <c r="O42" s="49">
        <v>2956919</v>
      </c>
      <c r="P42" s="83">
        <v>0</v>
      </c>
      <c r="Q42" s="81">
        <v>7102</v>
      </c>
    </row>
    <row r="43" spans="5:17" ht="15.95" customHeight="1" x14ac:dyDescent="0.25">
      <c r="E43" s="45" t="s">
        <v>31</v>
      </c>
      <c r="F43" s="49">
        <f>SUM(G43:Q43)</f>
        <v>21672420</v>
      </c>
      <c r="G43" s="49">
        <v>80296</v>
      </c>
      <c r="H43" s="49">
        <v>3797406</v>
      </c>
      <c r="I43" s="49">
        <v>0</v>
      </c>
      <c r="J43" s="49">
        <v>6917935</v>
      </c>
      <c r="K43" s="49">
        <v>2161536</v>
      </c>
      <c r="L43" s="49">
        <v>1408853</v>
      </c>
      <c r="M43" s="80">
        <v>187142</v>
      </c>
      <c r="N43" s="80">
        <v>7118904</v>
      </c>
      <c r="O43" s="49">
        <v>0</v>
      </c>
      <c r="P43" s="83">
        <v>0</v>
      </c>
      <c r="Q43" s="81">
        <v>348</v>
      </c>
    </row>
    <row r="44" spans="5:17" ht="15.95" customHeight="1" x14ac:dyDescent="0.25">
      <c r="E44" s="45"/>
      <c r="F44" s="49">
        <f t="shared" ref="F44:L44" si="2">F41+F42+F43</f>
        <v>72492337</v>
      </c>
      <c r="G44" s="49">
        <f t="shared" si="2"/>
        <v>267380</v>
      </c>
      <c r="H44" s="49">
        <f t="shared" si="2"/>
        <v>11598731</v>
      </c>
      <c r="I44" s="49">
        <f t="shared" si="2"/>
        <v>0</v>
      </c>
      <c r="J44" s="49">
        <f t="shared" si="2"/>
        <v>22149599</v>
      </c>
      <c r="K44" s="49">
        <f>K41+K42+K43</f>
        <v>7465841</v>
      </c>
      <c r="L44" s="49">
        <f t="shared" si="2"/>
        <v>4318487</v>
      </c>
      <c r="M44" s="80">
        <f>SUM(M41:M43)</f>
        <v>605941</v>
      </c>
      <c r="N44" s="80">
        <f>SUM(N41:N43)</f>
        <v>21103239</v>
      </c>
      <c r="O44" s="49">
        <f>O41+O42+O43</f>
        <v>4966336</v>
      </c>
      <c r="P44" s="49">
        <f>P41+P42+P43</f>
        <v>0</v>
      </c>
      <c r="Q44" s="81">
        <f>Q41+Q42+Q43</f>
        <v>16783</v>
      </c>
    </row>
    <row r="45" spans="5:17" ht="15.95" customHeight="1" x14ac:dyDescent="0.25">
      <c r="E45" s="45" t="s">
        <v>32</v>
      </c>
      <c r="F45" s="49">
        <f>SUM(G45:Q45)</f>
        <v>28660038</v>
      </c>
      <c r="G45" s="49">
        <v>107071</v>
      </c>
      <c r="H45" s="49">
        <v>4602855</v>
      </c>
      <c r="I45" s="49">
        <v>0</v>
      </c>
      <c r="J45" s="49">
        <v>7883291</v>
      </c>
      <c r="K45" s="49">
        <v>2351950</v>
      </c>
      <c r="L45" s="49">
        <v>1863509</v>
      </c>
      <c r="M45" s="80">
        <v>217730</v>
      </c>
      <c r="N45" s="80">
        <v>9139362</v>
      </c>
      <c r="O45" s="49">
        <v>2485501</v>
      </c>
      <c r="P45" s="83">
        <v>0</v>
      </c>
      <c r="Q45" s="81">
        <v>8769</v>
      </c>
    </row>
    <row r="46" spans="5:17" ht="15.95" customHeight="1" x14ac:dyDescent="0.25">
      <c r="E46" s="45" t="s">
        <v>41</v>
      </c>
      <c r="F46" s="49">
        <f>SUM(G46:Q46)</f>
        <v>26815072</v>
      </c>
      <c r="G46" s="49">
        <v>101614</v>
      </c>
      <c r="H46" s="49">
        <v>4508934</v>
      </c>
      <c r="I46" s="49">
        <v>0</v>
      </c>
      <c r="J46" s="49">
        <v>7967828</v>
      </c>
      <c r="K46" s="49">
        <v>2441753</v>
      </c>
      <c r="L46" s="49">
        <v>1661807</v>
      </c>
      <c r="M46" s="80">
        <v>188146</v>
      </c>
      <c r="N46" s="80">
        <v>8875189</v>
      </c>
      <c r="O46" s="49">
        <v>1068810</v>
      </c>
      <c r="P46" s="83">
        <v>0</v>
      </c>
      <c r="Q46" s="81">
        <v>991</v>
      </c>
    </row>
    <row r="47" spans="5:17" ht="15.95" customHeight="1" x14ac:dyDescent="0.25">
      <c r="E47" s="45" t="s">
        <v>34</v>
      </c>
      <c r="F47" s="49">
        <f>SUM(G47:Q47)</f>
        <v>26226673.350000001</v>
      </c>
      <c r="G47" s="49">
        <v>96353</v>
      </c>
      <c r="H47" s="49">
        <v>4160872</v>
      </c>
      <c r="I47" s="49">
        <v>1898.35</v>
      </c>
      <c r="J47" s="49">
        <v>7076291</v>
      </c>
      <c r="K47" s="49">
        <v>2683540</v>
      </c>
      <c r="L47" s="49">
        <v>1565111</v>
      </c>
      <c r="M47" s="80">
        <v>124782</v>
      </c>
      <c r="N47" s="80">
        <v>8769970</v>
      </c>
      <c r="O47" s="49">
        <v>1746583</v>
      </c>
      <c r="P47" s="83">
        <v>0</v>
      </c>
      <c r="Q47" s="81">
        <v>1273</v>
      </c>
    </row>
    <row r="48" spans="5:17" ht="15.95" customHeight="1" x14ac:dyDescent="0.25">
      <c r="E48" s="45"/>
      <c r="F48" s="49">
        <f t="shared" ref="F48:P48" si="3">F45+F46+F47</f>
        <v>81701783.349999994</v>
      </c>
      <c r="G48" s="49">
        <f t="shared" si="3"/>
        <v>305038</v>
      </c>
      <c r="H48" s="49">
        <f t="shared" si="3"/>
        <v>13272661</v>
      </c>
      <c r="I48" s="49">
        <f t="shared" si="3"/>
        <v>1898.35</v>
      </c>
      <c r="J48" s="49">
        <f t="shared" si="3"/>
        <v>22927410</v>
      </c>
      <c r="K48" s="49">
        <f>K45+K46+K47</f>
        <v>7477243</v>
      </c>
      <c r="L48" s="49">
        <f t="shared" si="3"/>
        <v>5090427</v>
      </c>
      <c r="M48" s="80">
        <f>SUM(M45:M47)</f>
        <v>530658</v>
      </c>
      <c r="N48" s="80">
        <f>SUM(N45:N47)</f>
        <v>26784521</v>
      </c>
      <c r="O48" s="49">
        <f t="shared" si="3"/>
        <v>5300894</v>
      </c>
      <c r="P48" s="49">
        <f t="shared" si="3"/>
        <v>0</v>
      </c>
      <c r="Q48" s="81">
        <f>Q45+Q46+Q47</f>
        <v>11033</v>
      </c>
    </row>
    <row r="49" spans="5:17" ht="15.95" customHeight="1" x14ac:dyDescent="0.25">
      <c r="E49" s="45" t="s">
        <v>35</v>
      </c>
      <c r="F49" s="49">
        <f>SUM(G49:Q49)</f>
        <v>26525422</v>
      </c>
      <c r="G49" s="49">
        <v>108502</v>
      </c>
      <c r="H49" s="49">
        <v>4070946</v>
      </c>
      <c r="I49" s="49">
        <v>0</v>
      </c>
      <c r="J49" s="49">
        <v>7998082</v>
      </c>
      <c r="K49" s="49">
        <v>2493757</v>
      </c>
      <c r="L49" s="49">
        <v>1302172</v>
      </c>
      <c r="M49" s="80">
        <v>183892</v>
      </c>
      <c r="N49" s="80">
        <v>8638880</v>
      </c>
      <c r="O49" s="49">
        <v>1725904</v>
      </c>
      <c r="P49" s="83">
        <v>0</v>
      </c>
      <c r="Q49" s="81">
        <v>3287</v>
      </c>
    </row>
    <row r="50" spans="5:17" ht="15.95" customHeight="1" x14ac:dyDescent="0.25">
      <c r="E50" s="45" t="s">
        <v>36</v>
      </c>
      <c r="F50" s="49">
        <f>SUM(G50:Q50)</f>
        <v>23922442.27</v>
      </c>
      <c r="G50" s="49">
        <v>68201</v>
      </c>
      <c r="H50" s="49">
        <v>3004346</v>
      </c>
      <c r="I50" s="49">
        <v>399.27</v>
      </c>
      <c r="J50" s="49">
        <v>6405136</v>
      </c>
      <c r="K50" s="49">
        <v>1637107</v>
      </c>
      <c r="L50" s="49">
        <v>1356958</v>
      </c>
      <c r="M50" s="80">
        <v>185265</v>
      </c>
      <c r="N50" s="80">
        <v>8834082</v>
      </c>
      <c r="O50" s="49">
        <v>2429036</v>
      </c>
      <c r="P50" s="83">
        <v>0</v>
      </c>
      <c r="Q50" s="81">
        <v>1912</v>
      </c>
    </row>
    <row r="51" spans="5:17" ht="15.95" customHeight="1" x14ac:dyDescent="0.25">
      <c r="E51" s="45" t="s">
        <v>37</v>
      </c>
      <c r="F51" s="49">
        <f>SUM(G51:Q51)</f>
        <v>22282301</v>
      </c>
      <c r="G51" s="49">
        <v>91603</v>
      </c>
      <c r="H51" s="49">
        <v>3430876</v>
      </c>
      <c r="I51" s="49">
        <v>0</v>
      </c>
      <c r="J51" s="49">
        <v>6875605</v>
      </c>
      <c r="K51" s="49">
        <v>2009557</v>
      </c>
      <c r="L51" s="49">
        <v>1391617</v>
      </c>
      <c r="M51" s="80">
        <v>210764</v>
      </c>
      <c r="N51" s="80">
        <v>6465558</v>
      </c>
      <c r="O51" s="49">
        <v>1806721</v>
      </c>
      <c r="P51" s="83"/>
      <c r="Q51" s="81"/>
    </row>
    <row r="52" spans="5:17" ht="15.95" customHeight="1" x14ac:dyDescent="0.25">
      <c r="E52" s="45"/>
      <c r="F52" s="49">
        <f t="shared" ref="F52:P52" si="4">F49+F50+F51</f>
        <v>72730165.269999996</v>
      </c>
      <c r="G52" s="49">
        <f t="shared" si="4"/>
        <v>268306</v>
      </c>
      <c r="H52" s="49">
        <f t="shared" si="4"/>
        <v>10506168</v>
      </c>
      <c r="I52" s="49">
        <f t="shared" si="4"/>
        <v>399.27</v>
      </c>
      <c r="J52" s="49">
        <f t="shared" si="4"/>
        <v>21278823</v>
      </c>
      <c r="K52" s="49">
        <f>K49+K50+K51</f>
        <v>6140421</v>
      </c>
      <c r="L52" s="49">
        <f t="shared" si="4"/>
        <v>4050747</v>
      </c>
      <c r="M52" s="80">
        <f>SUM(M49:M51)</f>
        <v>579921</v>
      </c>
      <c r="N52" s="82">
        <f>SUM(N49:N51)</f>
        <v>23938520</v>
      </c>
      <c r="O52" s="49">
        <f t="shared" si="4"/>
        <v>5961661</v>
      </c>
      <c r="P52" s="49">
        <f t="shared" si="4"/>
        <v>0</v>
      </c>
      <c r="Q52" s="81">
        <f>Q49+Q50+Q51</f>
        <v>5199</v>
      </c>
    </row>
    <row r="53" spans="5:17" ht="15.95" customHeight="1" x14ac:dyDescent="0.25">
      <c r="E53" s="70" t="s">
        <v>38</v>
      </c>
      <c r="F53" s="49">
        <f t="shared" ref="F53:P53" si="5">F37+F38+F39+F41+F42+F43+F45+F46+F47+F49+F50+F51</f>
        <v>293378536.62</v>
      </c>
      <c r="G53" s="49">
        <f t="shared" si="5"/>
        <v>1082269</v>
      </c>
      <c r="H53" s="49">
        <f t="shared" si="5"/>
        <v>44809501</v>
      </c>
      <c r="I53" s="49">
        <f t="shared" si="5"/>
        <v>6797.6200000000008</v>
      </c>
      <c r="J53" s="49">
        <f t="shared" si="5"/>
        <v>86435067</v>
      </c>
      <c r="K53" s="49">
        <f>K37+K38+K39+K41+K42+K43+K45+K46+K47+K49+K50+K51</f>
        <v>26356976</v>
      </c>
      <c r="L53" s="49">
        <f t="shared" si="5"/>
        <v>17753754</v>
      </c>
      <c r="M53" s="49">
        <f t="shared" si="5"/>
        <v>2261985</v>
      </c>
      <c r="N53" s="83">
        <f t="shared" si="5"/>
        <v>93541381</v>
      </c>
      <c r="O53" s="49">
        <f t="shared" si="5"/>
        <v>21063825</v>
      </c>
      <c r="P53" s="49">
        <f t="shared" si="5"/>
        <v>0</v>
      </c>
      <c r="Q53" s="81">
        <f>Q37+Q38+Q39+Q41+Q42+Q43+Q45+Q46+Q47+Q49+Q50+Q51</f>
        <v>66981</v>
      </c>
    </row>
    <row r="54" spans="5:17" ht="15.95" customHeight="1" thickBot="1" x14ac:dyDescent="0.3">
      <c r="E54" s="58"/>
      <c r="F54" s="26"/>
      <c r="G54" s="27"/>
      <c r="H54" s="27"/>
      <c r="I54" s="27"/>
      <c r="J54" s="27"/>
      <c r="K54" s="27"/>
      <c r="L54" s="27"/>
      <c r="M54" s="27"/>
      <c r="N54" s="28"/>
      <c r="O54" s="27"/>
      <c r="P54" s="28"/>
      <c r="Q54" s="67"/>
    </row>
    <row r="55" spans="5:17" ht="16.5" thickTop="1" x14ac:dyDescent="0.25">
      <c r="F55" s="59"/>
      <c r="G55" s="60"/>
      <c r="H55" s="60"/>
      <c r="I55" s="60"/>
      <c r="J55" s="60"/>
      <c r="K55" s="60"/>
      <c r="L55" s="60"/>
      <c r="M55" s="60"/>
      <c r="N55" s="60"/>
      <c r="O55" s="60"/>
      <c r="P55" s="37"/>
    </row>
    <row r="56" spans="5:17" ht="15.75" x14ac:dyDescent="0.25">
      <c r="E56" s="33" t="s">
        <v>23</v>
      </c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37"/>
    </row>
    <row r="57" spans="5:17" ht="15.75" x14ac:dyDescent="0.25">
      <c r="E57" s="61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37"/>
    </row>
    <row r="58" spans="5:17" ht="15.75" x14ac:dyDescent="0.25">
      <c r="F58" s="59"/>
      <c r="G58" s="60"/>
      <c r="H58" s="60"/>
      <c r="I58" s="60"/>
      <c r="J58" s="60"/>
      <c r="K58" s="60"/>
      <c r="L58" s="60"/>
      <c r="M58" s="60"/>
      <c r="N58" s="60"/>
      <c r="O58" s="60"/>
    </row>
    <row r="59" spans="5:17" ht="15.75" x14ac:dyDescent="0.25">
      <c r="F59" s="59"/>
      <c r="G59" s="60"/>
      <c r="H59" s="60"/>
      <c r="I59" s="60"/>
      <c r="J59" s="60"/>
      <c r="K59" s="60"/>
      <c r="L59" s="60"/>
      <c r="M59" s="60"/>
      <c r="N59" s="60"/>
      <c r="O59" s="60"/>
    </row>
    <row r="60" spans="5:17" ht="15.75" x14ac:dyDescent="0.25">
      <c r="F60" s="59"/>
      <c r="G60" s="60"/>
      <c r="H60" s="60"/>
      <c r="I60" s="60"/>
      <c r="J60" s="60"/>
      <c r="K60" s="60"/>
      <c r="L60" s="60"/>
      <c r="M60" s="60"/>
      <c r="N60" s="60"/>
      <c r="O60" s="60"/>
    </row>
    <row r="61" spans="5:17" ht="15.75" x14ac:dyDescent="0.25">
      <c r="F61" s="59"/>
      <c r="G61" s="60"/>
      <c r="H61" s="60"/>
      <c r="I61" s="60"/>
      <c r="J61" s="60"/>
      <c r="K61" s="60"/>
      <c r="L61" s="60"/>
      <c r="M61" s="60"/>
      <c r="N61" s="60"/>
      <c r="O61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syncVertical="1" syncRef="D1" transitionEvaluation="1"/>
  <dimension ref="A1:Q61"/>
  <sheetViews>
    <sheetView showGridLines="0" topLeftCell="D1" workbookViewId="0">
      <selection activeCell="E2" sqref="E2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22.85546875" style="1" bestFit="1" customWidth="1"/>
    <col min="11" max="11" width="21.140625" style="1" bestFit="1" customWidth="1"/>
    <col min="12" max="12" width="15" style="1" customWidth="1"/>
    <col min="13" max="13" width="14.5703125" style="1" customWidth="1"/>
    <col min="14" max="15" width="14.28515625" style="1" customWidth="1"/>
    <col min="16" max="17" width="14.140625" style="1" customWidth="1"/>
    <col min="18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22.85546875" style="1" bestFit="1" customWidth="1"/>
    <col min="267" max="267" width="21.140625" style="1" bestFit="1" customWidth="1"/>
    <col min="268" max="268" width="15" style="1" customWidth="1"/>
    <col min="269" max="269" width="14.5703125" style="1" customWidth="1"/>
    <col min="270" max="271" width="14.28515625" style="1" customWidth="1"/>
    <col min="272" max="273" width="14.140625" style="1" customWidth="1"/>
    <col min="274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22.85546875" style="1" bestFit="1" customWidth="1"/>
    <col min="523" max="523" width="21.140625" style="1" bestFit="1" customWidth="1"/>
    <col min="524" max="524" width="15" style="1" customWidth="1"/>
    <col min="525" max="525" width="14.5703125" style="1" customWidth="1"/>
    <col min="526" max="527" width="14.28515625" style="1" customWidth="1"/>
    <col min="528" max="529" width="14.140625" style="1" customWidth="1"/>
    <col min="530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22.85546875" style="1" bestFit="1" customWidth="1"/>
    <col min="779" max="779" width="21.140625" style="1" bestFit="1" customWidth="1"/>
    <col min="780" max="780" width="15" style="1" customWidth="1"/>
    <col min="781" max="781" width="14.5703125" style="1" customWidth="1"/>
    <col min="782" max="783" width="14.28515625" style="1" customWidth="1"/>
    <col min="784" max="785" width="14.140625" style="1" customWidth="1"/>
    <col min="786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22.85546875" style="1" bestFit="1" customWidth="1"/>
    <col min="1035" max="1035" width="21.140625" style="1" bestFit="1" customWidth="1"/>
    <col min="1036" max="1036" width="15" style="1" customWidth="1"/>
    <col min="1037" max="1037" width="14.5703125" style="1" customWidth="1"/>
    <col min="1038" max="1039" width="14.28515625" style="1" customWidth="1"/>
    <col min="1040" max="1041" width="14.140625" style="1" customWidth="1"/>
    <col min="1042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22.85546875" style="1" bestFit="1" customWidth="1"/>
    <col min="1291" max="1291" width="21.140625" style="1" bestFit="1" customWidth="1"/>
    <col min="1292" max="1292" width="15" style="1" customWidth="1"/>
    <col min="1293" max="1293" width="14.5703125" style="1" customWidth="1"/>
    <col min="1294" max="1295" width="14.28515625" style="1" customWidth="1"/>
    <col min="1296" max="1297" width="14.140625" style="1" customWidth="1"/>
    <col min="1298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22.85546875" style="1" bestFit="1" customWidth="1"/>
    <col min="1547" max="1547" width="21.140625" style="1" bestFit="1" customWidth="1"/>
    <col min="1548" max="1548" width="15" style="1" customWidth="1"/>
    <col min="1549" max="1549" width="14.5703125" style="1" customWidth="1"/>
    <col min="1550" max="1551" width="14.28515625" style="1" customWidth="1"/>
    <col min="1552" max="1553" width="14.140625" style="1" customWidth="1"/>
    <col min="1554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22.85546875" style="1" bestFit="1" customWidth="1"/>
    <col min="1803" max="1803" width="21.140625" style="1" bestFit="1" customWidth="1"/>
    <col min="1804" max="1804" width="15" style="1" customWidth="1"/>
    <col min="1805" max="1805" width="14.5703125" style="1" customWidth="1"/>
    <col min="1806" max="1807" width="14.28515625" style="1" customWidth="1"/>
    <col min="1808" max="1809" width="14.140625" style="1" customWidth="1"/>
    <col min="1810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22.85546875" style="1" bestFit="1" customWidth="1"/>
    <col min="2059" max="2059" width="21.140625" style="1" bestFit="1" customWidth="1"/>
    <col min="2060" max="2060" width="15" style="1" customWidth="1"/>
    <col min="2061" max="2061" width="14.5703125" style="1" customWidth="1"/>
    <col min="2062" max="2063" width="14.28515625" style="1" customWidth="1"/>
    <col min="2064" max="2065" width="14.140625" style="1" customWidth="1"/>
    <col min="2066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22.85546875" style="1" bestFit="1" customWidth="1"/>
    <col min="2315" max="2315" width="21.140625" style="1" bestFit="1" customWidth="1"/>
    <col min="2316" max="2316" width="15" style="1" customWidth="1"/>
    <col min="2317" max="2317" width="14.5703125" style="1" customWidth="1"/>
    <col min="2318" max="2319" width="14.28515625" style="1" customWidth="1"/>
    <col min="2320" max="2321" width="14.140625" style="1" customWidth="1"/>
    <col min="2322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22.85546875" style="1" bestFit="1" customWidth="1"/>
    <col min="2571" max="2571" width="21.140625" style="1" bestFit="1" customWidth="1"/>
    <col min="2572" max="2572" width="15" style="1" customWidth="1"/>
    <col min="2573" max="2573" width="14.5703125" style="1" customWidth="1"/>
    <col min="2574" max="2575" width="14.28515625" style="1" customWidth="1"/>
    <col min="2576" max="2577" width="14.140625" style="1" customWidth="1"/>
    <col min="2578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22.85546875" style="1" bestFit="1" customWidth="1"/>
    <col min="2827" max="2827" width="21.140625" style="1" bestFit="1" customWidth="1"/>
    <col min="2828" max="2828" width="15" style="1" customWidth="1"/>
    <col min="2829" max="2829" width="14.5703125" style="1" customWidth="1"/>
    <col min="2830" max="2831" width="14.28515625" style="1" customWidth="1"/>
    <col min="2832" max="2833" width="14.140625" style="1" customWidth="1"/>
    <col min="2834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22.85546875" style="1" bestFit="1" customWidth="1"/>
    <col min="3083" max="3083" width="21.140625" style="1" bestFit="1" customWidth="1"/>
    <col min="3084" max="3084" width="15" style="1" customWidth="1"/>
    <col min="3085" max="3085" width="14.5703125" style="1" customWidth="1"/>
    <col min="3086" max="3087" width="14.28515625" style="1" customWidth="1"/>
    <col min="3088" max="3089" width="14.140625" style="1" customWidth="1"/>
    <col min="3090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22.85546875" style="1" bestFit="1" customWidth="1"/>
    <col min="3339" max="3339" width="21.140625" style="1" bestFit="1" customWidth="1"/>
    <col min="3340" max="3340" width="15" style="1" customWidth="1"/>
    <col min="3341" max="3341" width="14.5703125" style="1" customWidth="1"/>
    <col min="3342" max="3343" width="14.28515625" style="1" customWidth="1"/>
    <col min="3344" max="3345" width="14.140625" style="1" customWidth="1"/>
    <col min="3346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22.85546875" style="1" bestFit="1" customWidth="1"/>
    <col min="3595" max="3595" width="21.140625" style="1" bestFit="1" customWidth="1"/>
    <col min="3596" max="3596" width="15" style="1" customWidth="1"/>
    <col min="3597" max="3597" width="14.5703125" style="1" customWidth="1"/>
    <col min="3598" max="3599" width="14.28515625" style="1" customWidth="1"/>
    <col min="3600" max="3601" width="14.140625" style="1" customWidth="1"/>
    <col min="3602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22.85546875" style="1" bestFit="1" customWidth="1"/>
    <col min="3851" max="3851" width="21.140625" style="1" bestFit="1" customWidth="1"/>
    <col min="3852" max="3852" width="15" style="1" customWidth="1"/>
    <col min="3853" max="3853" width="14.5703125" style="1" customWidth="1"/>
    <col min="3854" max="3855" width="14.28515625" style="1" customWidth="1"/>
    <col min="3856" max="3857" width="14.140625" style="1" customWidth="1"/>
    <col min="3858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22.85546875" style="1" bestFit="1" customWidth="1"/>
    <col min="4107" max="4107" width="21.140625" style="1" bestFit="1" customWidth="1"/>
    <col min="4108" max="4108" width="15" style="1" customWidth="1"/>
    <col min="4109" max="4109" width="14.5703125" style="1" customWidth="1"/>
    <col min="4110" max="4111" width="14.28515625" style="1" customWidth="1"/>
    <col min="4112" max="4113" width="14.140625" style="1" customWidth="1"/>
    <col min="4114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22.85546875" style="1" bestFit="1" customWidth="1"/>
    <col min="4363" max="4363" width="21.140625" style="1" bestFit="1" customWidth="1"/>
    <col min="4364" max="4364" width="15" style="1" customWidth="1"/>
    <col min="4365" max="4365" width="14.5703125" style="1" customWidth="1"/>
    <col min="4366" max="4367" width="14.28515625" style="1" customWidth="1"/>
    <col min="4368" max="4369" width="14.140625" style="1" customWidth="1"/>
    <col min="4370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22.85546875" style="1" bestFit="1" customWidth="1"/>
    <col min="4619" max="4619" width="21.140625" style="1" bestFit="1" customWidth="1"/>
    <col min="4620" max="4620" width="15" style="1" customWidth="1"/>
    <col min="4621" max="4621" width="14.5703125" style="1" customWidth="1"/>
    <col min="4622" max="4623" width="14.28515625" style="1" customWidth="1"/>
    <col min="4624" max="4625" width="14.140625" style="1" customWidth="1"/>
    <col min="4626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22.85546875" style="1" bestFit="1" customWidth="1"/>
    <col min="4875" max="4875" width="21.140625" style="1" bestFit="1" customWidth="1"/>
    <col min="4876" max="4876" width="15" style="1" customWidth="1"/>
    <col min="4877" max="4877" width="14.5703125" style="1" customWidth="1"/>
    <col min="4878" max="4879" width="14.28515625" style="1" customWidth="1"/>
    <col min="4880" max="4881" width="14.140625" style="1" customWidth="1"/>
    <col min="4882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22.85546875" style="1" bestFit="1" customWidth="1"/>
    <col min="5131" max="5131" width="21.140625" style="1" bestFit="1" customWidth="1"/>
    <col min="5132" max="5132" width="15" style="1" customWidth="1"/>
    <col min="5133" max="5133" width="14.5703125" style="1" customWidth="1"/>
    <col min="5134" max="5135" width="14.28515625" style="1" customWidth="1"/>
    <col min="5136" max="5137" width="14.140625" style="1" customWidth="1"/>
    <col min="5138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22.85546875" style="1" bestFit="1" customWidth="1"/>
    <col min="5387" max="5387" width="21.140625" style="1" bestFit="1" customWidth="1"/>
    <col min="5388" max="5388" width="15" style="1" customWidth="1"/>
    <col min="5389" max="5389" width="14.5703125" style="1" customWidth="1"/>
    <col min="5390" max="5391" width="14.28515625" style="1" customWidth="1"/>
    <col min="5392" max="5393" width="14.140625" style="1" customWidth="1"/>
    <col min="5394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22.85546875" style="1" bestFit="1" customWidth="1"/>
    <col min="5643" max="5643" width="21.140625" style="1" bestFit="1" customWidth="1"/>
    <col min="5644" max="5644" width="15" style="1" customWidth="1"/>
    <col min="5645" max="5645" width="14.5703125" style="1" customWidth="1"/>
    <col min="5646" max="5647" width="14.28515625" style="1" customWidth="1"/>
    <col min="5648" max="5649" width="14.140625" style="1" customWidth="1"/>
    <col min="5650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22.85546875" style="1" bestFit="1" customWidth="1"/>
    <col min="5899" max="5899" width="21.140625" style="1" bestFit="1" customWidth="1"/>
    <col min="5900" max="5900" width="15" style="1" customWidth="1"/>
    <col min="5901" max="5901" width="14.5703125" style="1" customWidth="1"/>
    <col min="5902" max="5903" width="14.28515625" style="1" customWidth="1"/>
    <col min="5904" max="5905" width="14.140625" style="1" customWidth="1"/>
    <col min="5906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22.85546875" style="1" bestFit="1" customWidth="1"/>
    <col min="6155" max="6155" width="21.140625" style="1" bestFit="1" customWidth="1"/>
    <col min="6156" max="6156" width="15" style="1" customWidth="1"/>
    <col min="6157" max="6157" width="14.5703125" style="1" customWidth="1"/>
    <col min="6158" max="6159" width="14.28515625" style="1" customWidth="1"/>
    <col min="6160" max="6161" width="14.140625" style="1" customWidth="1"/>
    <col min="6162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22.85546875" style="1" bestFit="1" customWidth="1"/>
    <col min="6411" max="6411" width="21.140625" style="1" bestFit="1" customWidth="1"/>
    <col min="6412" max="6412" width="15" style="1" customWidth="1"/>
    <col min="6413" max="6413" width="14.5703125" style="1" customWidth="1"/>
    <col min="6414" max="6415" width="14.28515625" style="1" customWidth="1"/>
    <col min="6416" max="6417" width="14.140625" style="1" customWidth="1"/>
    <col min="6418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22.85546875" style="1" bestFit="1" customWidth="1"/>
    <col min="6667" max="6667" width="21.140625" style="1" bestFit="1" customWidth="1"/>
    <col min="6668" max="6668" width="15" style="1" customWidth="1"/>
    <col min="6669" max="6669" width="14.5703125" style="1" customWidth="1"/>
    <col min="6670" max="6671" width="14.28515625" style="1" customWidth="1"/>
    <col min="6672" max="6673" width="14.140625" style="1" customWidth="1"/>
    <col min="6674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22.85546875" style="1" bestFit="1" customWidth="1"/>
    <col min="6923" max="6923" width="21.140625" style="1" bestFit="1" customWidth="1"/>
    <col min="6924" max="6924" width="15" style="1" customWidth="1"/>
    <col min="6925" max="6925" width="14.5703125" style="1" customWidth="1"/>
    <col min="6926" max="6927" width="14.28515625" style="1" customWidth="1"/>
    <col min="6928" max="6929" width="14.140625" style="1" customWidth="1"/>
    <col min="6930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22.85546875" style="1" bestFit="1" customWidth="1"/>
    <col min="7179" max="7179" width="21.140625" style="1" bestFit="1" customWidth="1"/>
    <col min="7180" max="7180" width="15" style="1" customWidth="1"/>
    <col min="7181" max="7181" width="14.5703125" style="1" customWidth="1"/>
    <col min="7182" max="7183" width="14.28515625" style="1" customWidth="1"/>
    <col min="7184" max="7185" width="14.140625" style="1" customWidth="1"/>
    <col min="7186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22.85546875" style="1" bestFit="1" customWidth="1"/>
    <col min="7435" max="7435" width="21.140625" style="1" bestFit="1" customWidth="1"/>
    <col min="7436" max="7436" width="15" style="1" customWidth="1"/>
    <col min="7437" max="7437" width="14.5703125" style="1" customWidth="1"/>
    <col min="7438" max="7439" width="14.28515625" style="1" customWidth="1"/>
    <col min="7440" max="7441" width="14.140625" style="1" customWidth="1"/>
    <col min="7442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22.85546875" style="1" bestFit="1" customWidth="1"/>
    <col min="7691" max="7691" width="21.140625" style="1" bestFit="1" customWidth="1"/>
    <col min="7692" max="7692" width="15" style="1" customWidth="1"/>
    <col min="7693" max="7693" width="14.5703125" style="1" customWidth="1"/>
    <col min="7694" max="7695" width="14.28515625" style="1" customWidth="1"/>
    <col min="7696" max="7697" width="14.140625" style="1" customWidth="1"/>
    <col min="7698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22.85546875" style="1" bestFit="1" customWidth="1"/>
    <col min="7947" max="7947" width="21.140625" style="1" bestFit="1" customWidth="1"/>
    <col min="7948" max="7948" width="15" style="1" customWidth="1"/>
    <col min="7949" max="7949" width="14.5703125" style="1" customWidth="1"/>
    <col min="7950" max="7951" width="14.28515625" style="1" customWidth="1"/>
    <col min="7952" max="7953" width="14.140625" style="1" customWidth="1"/>
    <col min="7954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22.85546875" style="1" bestFit="1" customWidth="1"/>
    <col min="8203" max="8203" width="21.140625" style="1" bestFit="1" customWidth="1"/>
    <col min="8204" max="8204" width="15" style="1" customWidth="1"/>
    <col min="8205" max="8205" width="14.5703125" style="1" customWidth="1"/>
    <col min="8206" max="8207" width="14.28515625" style="1" customWidth="1"/>
    <col min="8208" max="8209" width="14.140625" style="1" customWidth="1"/>
    <col min="8210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22.85546875" style="1" bestFit="1" customWidth="1"/>
    <col min="8459" max="8459" width="21.140625" style="1" bestFit="1" customWidth="1"/>
    <col min="8460" max="8460" width="15" style="1" customWidth="1"/>
    <col min="8461" max="8461" width="14.5703125" style="1" customWidth="1"/>
    <col min="8462" max="8463" width="14.28515625" style="1" customWidth="1"/>
    <col min="8464" max="8465" width="14.140625" style="1" customWidth="1"/>
    <col min="8466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22.85546875" style="1" bestFit="1" customWidth="1"/>
    <col min="8715" max="8715" width="21.140625" style="1" bestFit="1" customWidth="1"/>
    <col min="8716" max="8716" width="15" style="1" customWidth="1"/>
    <col min="8717" max="8717" width="14.5703125" style="1" customWidth="1"/>
    <col min="8718" max="8719" width="14.28515625" style="1" customWidth="1"/>
    <col min="8720" max="8721" width="14.140625" style="1" customWidth="1"/>
    <col min="8722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22.85546875" style="1" bestFit="1" customWidth="1"/>
    <col min="8971" max="8971" width="21.140625" style="1" bestFit="1" customWidth="1"/>
    <col min="8972" max="8972" width="15" style="1" customWidth="1"/>
    <col min="8973" max="8973" width="14.5703125" style="1" customWidth="1"/>
    <col min="8974" max="8975" width="14.28515625" style="1" customWidth="1"/>
    <col min="8976" max="8977" width="14.140625" style="1" customWidth="1"/>
    <col min="8978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22.85546875" style="1" bestFit="1" customWidth="1"/>
    <col min="9227" max="9227" width="21.140625" style="1" bestFit="1" customWidth="1"/>
    <col min="9228" max="9228" width="15" style="1" customWidth="1"/>
    <col min="9229" max="9229" width="14.5703125" style="1" customWidth="1"/>
    <col min="9230" max="9231" width="14.28515625" style="1" customWidth="1"/>
    <col min="9232" max="9233" width="14.140625" style="1" customWidth="1"/>
    <col min="9234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22.85546875" style="1" bestFit="1" customWidth="1"/>
    <col min="9483" max="9483" width="21.140625" style="1" bestFit="1" customWidth="1"/>
    <col min="9484" max="9484" width="15" style="1" customWidth="1"/>
    <col min="9485" max="9485" width="14.5703125" style="1" customWidth="1"/>
    <col min="9486" max="9487" width="14.28515625" style="1" customWidth="1"/>
    <col min="9488" max="9489" width="14.140625" style="1" customWidth="1"/>
    <col min="9490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22.85546875" style="1" bestFit="1" customWidth="1"/>
    <col min="9739" max="9739" width="21.140625" style="1" bestFit="1" customWidth="1"/>
    <col min="9740" max="9740" width="15" style="1" customWidth="1"/>
    <col min="9741" max="9741" width="14.5703125" style="1" customWidth="1"/>
    <col min="9742" max="9743" width="14.28515625" style="1" customWidth="1"/>
    <col min="9744" max="9745" width="14.140625" style="1" customWidth="1"/>
    <col min="9746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22.85546875" style="1" bestFit="1" customWidth="1"/>
    <col min="9995" max="9995" width="21.140625" style="1" bestFit="1" customWidth="1"/>
    <col min="9996" max="9996" width="15" style="1" customWidth="1"/>
    <col min="9997" max="9997" width="14.5703125" style="1" customWidth="1"/>
    <col min="9998" max="9999" width="14.28515625" style="1" customWidth="1"/>
    <col min="10000" max="10001" width="14.140625" style="1" customWidth="1"/>
    <col min="10002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22.85546875" style="1" bestFit="1" customWidth="1"/>
    <col min="10251" max="10251" width="21.140625" style="1" bestFit="1" customWidth="1"/>
    <col min="10252" max="10252" width="15" style="1" customWidth="1"/>
    <col min="10253" max="10253" width="14.5703125" style="1" customWidth="1"/>
    <col min="10254" max="10255" width="14.28515625" style="1" customWidth="1"/>
    <col min="10256" max="10257" width="14.140625" style="1" customWidth="1"/>
    <col min="10258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22.85546875" style="1" bestFit="1" customWidth="1"/>
    <col min="10507" max="10507" width="21.140625" style="1" bestFit="1" customWidth="1"/>
    <col min="10508" max="10508" width="15" style="1" customWidth="1"/>
    <col min="10509" max="10509" width="14.5703125" style="1" customWidth="1"/>
    <col min="10510" max="10511" width="14.28515625" style="1" customWidth="1"/>
    <col min="10512" max="10513" width="14.140625" style="1" customWidth="1"/>
    <col min="10514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22.85546875" style="1" bestFit="1" customWidth="1"/>
    <col min="10763" max="10763" width="21.140625" style="1" bestFit="1" customWidth="1"/>
    <col min="10764" max="10764" width="15" style="1" customWidth="1"/>
    <col min="10765" max="10765" width="14.5703125" style="1" customWidth="1"/>
    <col min="10766" max="10767" width="14.28515625" style="1" customWidth="1"/>
    <col min="10768" max="10769" width="14.140625" style="1" customWidth="1"/>
    <col min="10770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22.85546875" style="1" bestFit="1" customWidth="1"/>
    <col min="11019" max="11019" width="21.140625" style="1" bestFit="1" customWidth="1"/>
    <col min="11020" max="11020" width="15" style="1" customWidth="1"/>
    <col min="11021" max="11021" width="14.5703125" style="1" customWidth="1"/>
    <col min="11022" max="11023" width="14.28515625" style="1" customWidth="1"/>
    <col min="11024" max="11025" width="14.140625" style="1" customWidth="1"/>
    <col min="11026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22.85546875" style="1" bestFit="1" customWidth="1"/>
    <col min="11275" max="11275" width="21.140625" style="1" bestFit="1" customWidth="1"/>
    <col min="11276" max="11276" width="15" style="1" customWidth="1"/>
    <col min="11277" max="11277" width="14.5703125" style="1" customWidth="1"/>
    <col min="11278" max="11279" width="14.28515625" style="1" customWidth="1"/>
    <col min="11280" max="11281" width="14.140625" style="1" customWidth="1"/>
    <col min="11282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22.85546875" style="1" bestFit="1" customWidth="1"/>
    <col min="11531" max="11531" width="21.140625" style="1" bestFit="1" customWidth="1"/>
    <col min="11532" max="11532" width="15" style="1" customWidth="1"/>
    <col min="11533" max="11533" width="14.5703125" style="1" customWidth="1"/>
    <col min="11534" max="11535" width="14.28515625" style="1" customWidth="1"/>
    <col min="11536" max="11537" width="14.140625" style="1" customWidth="1"/>
    <col min="11538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22.85546875" style="1" bestFit="1" customWidth="1"/>
    <col min="11787" max="11787" width="21.140625" style="1" bestFit="1" customWidth="1"/>
    <col min="11788" max="11788" width="15" style="1" customWidth="1"/>
    <col min="11789" max="11789" width="14.5703125" style="1" customWidth="1"/>
    <col min="11790" max="11791" width="14.28515625" style="1" customWidth="1"/>
    <col min="11792" max="11793" width="14.140625" style="1" customWidth="1"/>
    <col min="11794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22.85546875" style="1" bestFit="1" customWidth="1"/>
    <col min="12043" max="12043" width="21.140625" style="1" bestFit="1" customWidth="1"/>
    <col min="12044" max="12044" width="15" style="1" customWidth="1"/>
    <col min="12045" max="12045" width="14.5703125" style="1" customWidth="1"/>
    <col min="12046" max="12047" width="14.28515625" style="1" customWidth="1"/>
    <col min="12048" max="12049" width="14.140625" style="1" customWidth="1"/>
    <col min="12050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22.85546875" style="1" bestFit="1" customWidth="1"/>
    <col min="12299" max="12299" width="21.140625" style="1" bestFit="1" customWidth="1"/>
    <col min="12300" max="12300" width="15" style="1" customWidth="1"/>
    <col min="12301" max="12301" width="14.5703125" style="1" customWidth="1"/>
    <col min="12302" max="12303" width="14.28515625" style="1" customWidth="1"/>
    <col min="12304" max="12305" width="14.140625" style="1" customWidth="1"/>
    <col min="12306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22.85546875" style="1" bestFit="1" customWidth="1"/>
    <col min="12555" max="12555" width="21.140625" style="1" bestFit="1" customWidth="1"/>
    <col min="12556" max="12556" width="15" style="1" customWidth="1"/>
    <col min="12557" max="12557" width="14.5703125" style="1" customWidth="1"/>
    <col min="12558" max="12559" width="14.28515625" style="1" customWidth="1"/>
    <col min="12560" max="12561" width="14.140625" style="1" customWidth="1"/>
    <col min="12562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22.85546875" style="1" bestFit="1" customWidth="1"/>
    <col min="12811" max="12811" width="21.140625" style="1" bestFit="1" customWidth="1"/>
    <col min="12812" max="12812" width="15" style="1" customWidth="1"/>
    <col min="12813" max="12813" width="14.5703125" style="1" customWidth="1"/>
    <col min="12814" max="12815" width="14.28515625" style="1" customWidth="1"/>
    <col min="12816" max="12817" width="14.140625" style="1" customWidth="1"/>
    <col min="12818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22.85546875" style="1" bestFit="1" customWidth="1"/>
    <col min="13067" max="13067" width="21.140625" style="1" bestFit="1" customWidth="1"/>
    <col min="13068" max="13068" width="15" style="1" customWidth="1"/>
    <col min="13069" max="13069" width="14.5703125" style="1" customWidth="1"/>
    <col min="13070" max="13071" width="14.28515625" style="1" customWidth="1"/>
    <col min="13072" max="13073" width="14.140625" style="1" customWidth="1"/>
    <col min="13074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22.85546875" style="1" bestFit="1" customWidth="1"/>
    <col min="13323" max="13323" width="21.140625" style="1" bestFit="1" customWidth="1"/>
    <col min="13324" max="13324" width="15" style="1" customWidth="1"/>
    <col min="13325" max="13325" width="14.5703125" style="1" customWidth="1"/>
    <col min="13326" max="13327" width="14.28515625" style="1" customWidth="1"/>
    <col min="13328" max="13329" width="14.140625" style="1" customWidth="1"/>
    <col min="13330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22.85546875" style="1" bestFit="1" customWidth="1"/>
    <col min="13579" max="13579" width="21.140625" style="1" bestFit="1" customWidth="1"/>
    <col min="13580" max="13580" width="15" style="1" customWidth="1"/>
    <col min="13581" max="13581" width="14.5703125" style="1" customWidth="1"/>
    <col min="13582" max="13583" width="14.28515625" style="1" customWidth="1"/>
    <col min="13584" max="13585" width="14.140625" style="1" customWidth="1"/>
    <col min="13586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22.85546875" style="1" bestFit="1" customWidth="1"/>
    <col min="13835" max="13835" width="21.140625" style="1" bestFit="1" customWidth="1"/>
    <col min="13836" max="13836" width="15" style="1" customWidth="1"/>
    <col min="13837" max="13837" width="14.5703125" style="1" customWidth="1"/>
    <col min="13838" max="13839" width="14.28515625" style="1" customWidth="1"/>
    <col min="13840" max="13841" width="14.140625" style="1" customWidth="1"/>
    <col min="13842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22.85546875" style="1" bestFit="1" customWidth="1"/>
    <col min="14091" max="14091" width="21.140625" style="1" bestFit="1" customWidth="1"/>
    <col min="14092" max="14092" width="15" style="1" customWidth="1"/>
    <col min="14093" max="14093" width="14.5703125" style="1" customWidth="1"/>
    <col min="14094" max="14095" width="14.28515625" style="1" customWidth="1"/>
    <col min="14096" max="14097" width="14.140625" style="1" customWidth="1"/>
    <col min="14098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22.85546875" style="1" bestFit="1" customWidth="1"/>
    <col min="14347" max="14347" width="21.140625" style="1" bestFit="1" customWidth="1"/>
    <col min="14348" max="14348" width="15" style="1" customWidth="1"/>
    <col min="14349" max="14349" width="14.5703125" style="1" customWidth="1"/>
    <col min="14350" max="14351" width="14.28515625" style="1" customWidth="1"/>
    <col min="14352" max="14353" width="14.140625" style="1" customWidth="1"/>
    <col min="14354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22.85546875" style="1" bestFit="1" customWidth="1"/>
    <col min="14603" max="14603" width="21.140625" style="1" bestFit="1" customWidth="1"/>
    <col min="14604" max="14604" width="15" style="1" customWidth="1"/>
    <col min="14605" max="14605" width="14.5703125" style="1" customWidth="1"/>
    <col min="14606" max="14607" width="14.28515625" style="1" customWidth="1"/>
    <col min="14608" max="14609" width="14.140625" style="1" customWidth="1"/>
    <col min="14610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22.85546875" style="1" bestFit="1" customWidth="1"/>
    <col min="14859" max="14859" width="21.140625" style="1" bestFit="1" customWidth="1"/>
    <col min="14860" max="14860" width="15" style="1" customWidth="1"/>
    <col min="14861" max="14861" width="14.5703125" style="1" customWidth="1"/>
    <col min="14862" max="14863" width="14.28515625" style="1" customWidth="1"/>
    <col min="14864" max="14865" width="14.140625" style="1" customWidth="1"/>
    <col min="14866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22.85546875" style="1" bestFit="1" customWidth="1"/>
    <col min="15115" max="15115" width="21.140625" style="1" bestFit="1" customWidth="1"/>
    <col min="15116" max="15116" width="15" style="1" customWidth="1"/>
    <col min="15117" max="15117" width="14.5703125" style="1" customWidth="1"/>
    <col min="15118" max="15119" width="14.28515625" style="1" customWidth="1"/>
    <col min="15120" max="15121" width="14.140625" style="1" customWidth="1"/>
    <col min="15122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22.85546875" style="1" bestFit="1" customWidth="1"/>
    <col min="15371" max="15371" width="21.140625" style="1" bestFit="1" customWidth="1"/>
    <col min="15372" max="15372" width="15" style="1" customWidth="1"/>
    <col min="15373" max="15373" width="14.5703125" style="1" customWidth="1"/>
    <col min="15374" max="15375" width="14.28515625" style="1" customWidth="1"/>
    <col min="15376" max="15377" width="14.140625" style="1" customWidth="1"/>
    <col min="15378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22.85546875" style="1" bestFit="1" customWidth="1"/>
    <col min="15627" max="15627" width="21.140625" style="1" bestFit="1" customWidth="1"/>
    <col min="15628" max="15628" width="15" style="1" customWidth="1"/>
    <col min="15629" max="15629" width="14.5703125" style="1" customWidth="1"/>
    <col min="15630" max="15631" width="14.28515625" style="1" customWidth="1"/>
    <col min="15632" max="15633" width="14.140625" style="1" customWidth="1"/>
    <col min="15634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22.85546875" style="1" bestFit="1" customWidth="1"/>
    <col min="15883" max="15883" width="21.140625" style="1" bestFit="1" customWidth="1"/>
    <col min="15884" max="15884" width="15" style="1" customWidth="1"/>
    <col min="15885" max="15885" width="14.5703125" style="1" customWidth="1"/>
    <col min="15886" max="15887" width="14.28515625" style="1" customWidth="1"/>
    <col min="15888" max="15889" width="14.140625" style="1" customWidth="1"/>
    <col min="15890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22.85546875" style="1" bestFit="1" customWidth="1"/>
    <col min="16139" max="16139" width="21.140625" style="1" bestFit="1" customWidth="1"/>
    <col min="16140" max="16140" width="15" style="1" customWidth="1"/>
    <col min="16141" max="16141" width="14.5703125" style="1" customWidth="1"/>
    <col min="16142" max="16143" width="14.28515625" style="1" customWidth="1"/>
    <col min="16144" max="16145" width="14.140625" style="1" customWidth="1"/>
    <col min="16146" max="16384" width="21.5703125" style="1"/>
  </cols>
  <sheetData>
    <row r="1" spans="2:17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2"/>
      <c r="P1" s="2"/>
      <c r="Q1" s="72"/>
    </row>
    <row r="2" spans="2:17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2"/>
      <c r="P2" s="2"/>
    </row>
    <row r="3" spans="2:17" ht="15.75" x14ac:dyDescent="0.25">
      <c r="E3" s="77">
        <v>2020</v>
      </c>
      <c r="F3" s="3"/>
      <c r="G3" s="3"/>
      <c r="H3" s="7"/>
      <c r="I3" s="3"/>
      <c r="J3" s="7"/>
      <c r="K3" s="7"/>
      <c r="L3" s="7"/>
      <c r="M3" s="7"/>
      <c r="N3" s="7"/>
      <c r="O3" s="7"/>
      <c r="P3" s="7"/>
    </row>
    <row r="4" spans="2:17" ht="16.5" thickBot="1" x14ac:dyDescent="0.3">
      <c r="F4" s="5"/>
      <c r="G4" s="9"/>
      <c r="H4" s="9"/>
      <c r="I4" s="9"/>
      <c r="J4" s="9"/>
      <c r="K4" s="9"/>
      <c r="L4" s="9"/>
      <c r="M4" s="9"/>
      <c r="N4" s="9"/>
      <c r="Q4" s="76" t="s">
        <v>54</v>
      </c>
    </row>
    <row r="5" spans="2:17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61</v>
      </c>
      <c r="K5" s="12" t="s">
        <v>60</v>
      </c>
      <c r="L5" s="12" t="s">
        <v>8</v>
      </c>
      <c r="M5" s="12" t="s">
        <v>9</v>
      </c>
      <c r="N5" s="12" t="s">
        <v>10</v>
      </c>
      <c r="O5" s="12" t="s">
        <v>11</v>
      </c>
      <c r="P5" s="13" t="s">
        <v>59</v>
      </c>
      <c r="Q5" s="63" t="s">
        <v>56</v>
      </c>
    </row>
    <row r="6" spans="2:17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8"/>
      <c r="Q6" s="64"/>
    </row>
    <row r="7" spans="2:17" ht="15.75" x14ac:dyDescent="0.25">
      <c r="E7" s="20" t="s">
        <v>13</v>
      </c>
      <c r="F7" s="16">
        <f>G7+H7+I7+J7+K7+L7+M7+N7+O7+P7+Q7</f>
        <v>135732990.32099998</v>
      </c>
      <c r="G7" s="16">
        <v>804954</v>
      </c>
      <c r="H7" s="16">
        <v>20401429</v>
      </c>
      <c r="I7" s="16">
        <v>676.32099999999991</v>
      </c>
      <c r="J7" s="16">
        <v>42552749</v>
      </c>
      <c r="K7" s="16">
        <v>13284459</v>
      </c>
      <c r="L7" s="16">
        <v>392738</v>
      </c>
      <c r="M7" s="16">
        <v>904027</v>
      </c>
      <c r="N7" s="16">
        <v>45089317</v>
      </c>
      <c r="O7" s="16">
        <v>12285188</v>
      </c>
      <c r="P7" s="16">
        <v>0</v>
      </c>
      <c r="Q7" s="66">
        <v>17453</v>
      </c>
    </row>
    <row r="8" spans="2:17" ht="15.75" x14ac:dyDescent="0.25"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66"/>
    </row>
    <row r="9" spans="2:17" ht="15.75" x14ac:dyDescent="0.25">
      <c r="E9" s="20" t="s">
        <v>14</v>
      </c>
      <c r="F9" s="16">
        <f>G9+H9+I9+J9+K9+L9+M9+N9+O9+P9+Q9</f>
        <v>7885418</v>
      </c>
      <c r="G9" s="16">
        <v>214</v>
      </c>
      <c r="H9" s="16">
        <v>1172433</v>
      </c>
      <c r="I9" s="16">
        <v>5996</v>
      </c>
      <c r="J9" s="16">
        <v>1309220</v>
      </c>
      <c r="K9" s="16">
        <v>553879</v>
      </c>
      <c r="L9" s="16">
        <v>4838514</v>
      </c>
      <c r="M9" s="16">
        <v>0</v>
      </c>
      <c r="N9" s="16">
        <v>0</v>
      </c>
      <c r="O9" s="16">
        <v>0</v>
      </c>
      <c r="P9" s="16">
        <v>0</v>
      </c>
      <c r="Q9" s="66">
        <v>5162</v>
      </c>
    </row>
    <row r="10" spans="2:17" ht="15.75" x14ac:dyDescent="0.25"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66"/>
    </row>
    <row r="11" spans="2:17" ht="15.75" x14ac:dyDescent="0.25">
      <c r="B11" s="21"/>
      <c r="C11" s="21"/>
      <c r="D11" s="21"/>
      <c r="E11" s="20" t="s">
        <v>15</v>
      </c>
      <c r="F11" s="16">
        <f>G11+H11+I11+J11+K11+L11+M11+N11+O11+P11+Q11</f>
        <v>65205916</v>
      </c>
      <c r="G11" s="16">
        <v>283106</v>
      </c>
      <c r="H11" s="16">
        <v>8745349</v>
      </c>
      <c r="I11" s="16">
        <v>0</v>
      </c>
      <c r="J11" s="16">
        <v>17599086</v>
      </c>
      <c r="K11" s="16">
        <v>5855151</v>
      </c>
      <c r="L11" s="16">
        <v>421817</v>
      </c>
      <c r="M11" s="16">
        <v>503036</v>
      </c>
      <c r="N11" s="16">
        <v>26372407</v>
      </c>
      <c r="O11" s="16">
        <v>5425964</v>
      </c>
      <c r="P11" s="16">
        <v>0</v>
      </c>
      <c r="Q11" s="66">
        <v>0</v>
      </c>
    </row>
    <row r="12" spans="2:17" ht="15.75" x14ac:dyDescent="0.25"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6"/>
    </row>
    <row r="13" spans="2:17" ht="15.75" x14ac:dyDescent="0.25">
      <c r="E13" s="20" t="s">
        <v>17</v>
      </c>
      <c r="F13" s="16">
        <f>G13+H13+I13+J13+K13+L13+M13+N13+O13+P13+Q13</f>
        <v>3947824</v>
      </c>
      <c r="G13" s="16">
        <v>0</v>
      </c>
      <c r="H13" s="16">
        <v>592420</v>
      </c>
      <c r="I13" s="16">
        <v>0</v>
      </c>
      <c r="J13" s="16">
        <v>1235448</v>
      </c>
      <c r="K13" s="16">
        <v>730711</v>
      </c>
      <c r="L13" s="16">
        <v>1389245</v>
      </c>
      <c r="M13" s="16">
        <v>0</v>
      </c>
      <c r="N13" s="16">
        <v>0</v>
      </c>
      <c r="O13" s="16">
        <v>0</v>
      </c>
      <c r="P13" s="16">
        <v>0</v>
      </c>
      <c r="Q13" s="66">
        <v>0</v>
      </c>
    </row>
    <row r="14" spans="2:17" ht="15.75" x14ac:dyDescent="0.25"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66"/>
    </row>
    <row r="15" spans="2:17" ht="15.75" x14ac:dyDescent="0.25">
      <c r="E15" s="20" t="s">
        <v>18</v>
      </c>
      <c r="F15" s="16">
        <f>G15+H15+I15+J15+K15+L15+M15+N15+O15+P15+Q15</f>
        <v>12533825</v>
      </c>
      <c r="G15" s="16">
        <v>0</v>
      </c>
      <c r="H15" s="16">
        <v>917139</v>
      </c>
      <c r="I15" s="16">
        <v>0</v>
      </c>
      <c r="J15" s="16">
        <v>2957211</v>
      </c>
      <c r="K15" s="16">
        <v>1882339</v>
      </c>
      <c r="L15" s="16">
        <v>6382687</v>
      </c>
      <c r="M15" s="16">
        <v>394449</v>
      </c>
      <c r="N15" s="16">
        <v>0</v>
      </c>
      <c r="O15" s="16">
        <v>0</v>
      </c>
      <c r="P15" s="16">
        <v>0</v>
      </c>
      <c r="Q15" s="66">
        <v>0</v>
      </c>
    </row>
    <row r="16" spans="2:17" ht="15.75" x14ac:dyDescent="0.25"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66"/>
    </row>
    <row r="17" spans="5:17" ht="15.75" x14ac:dyDescent="0.25">
      <c r="E17" s="20" t="s">
        <v>19</v>
      </c>
      <c r="F17" s="16">
        <f>G17+H17+I17+J17+K17+L17+M17+N17+O17+P17+Q17</f>
        <v>23588280.98</v>
      </c>
      <c r="G17" s="16">
        <v>0</v>
      </c>
      <c r="H17" s="16">
        <v>2459040</v>
      </c>
      <c r="I17" s="16">
        <v>0</v>
      </c>
      <c r="J17" s="16">
        <v>6732833</v>
      </c>
      <c r="K17" s="16">
        <v>1534574</v>
      </c>
      <c r="L17" s="16">
        <v>414105</v>
      </c>
      <c r="M17" s="16">
        <v>454624</v>
      </c>
      <c r="N17" s="16">
        <v>9123638</v>
      </c>
      <c r="O17" s="16">
        <v>2866273.98</v>
      </c>
      <c r="P17" s="16">
        <v>0</v>
      </c>
      <c r="Q17" s="66">
        <v>3193</v>
      </c>
    </row>
    <row r="18" spans="5:17" ht="15.75" x14ac:dyDescent="0.25"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66"/>
    </row>
    <row r="19" spans="5:17" ht="15.75" x14ac:dyDescent="0.25">
      <c r="E19" s="20" t="s">
        <v>20</v>
      </c>
      <c r="F19" s="16">
        <f>G19+H19+I19+J19+K19+L19+M19+N19+O19+P19+Q19</f>
        <v>18970376</v>
      </c>
      <c r="G19" s="16">
        <v>0</v>
      </c>
      <c r="H19" s="16">
        <v>2151453</v>
      </c>
      <c r="I19" s="16">
        <v>0</v>
      </c>
      <c r="J19" s="16">
        <v>4826228</v>
      </c>
      <c r="K19" s="16">
        <v>3166816</v>
      </c>
      <c r="L19" s="16">
        <v>212724</v>
      </c>
      <c r="M19" s="16">
        <v>57750</v>
      </c>
      <c r="N19" s="16">
        <v>8555405</v>
      </c>
      <c r="O19" s="16">
        <v>0</v>
      </c>
      <c r="P19" s="16">
        <v>0</v>
      </c>
      <c r="Q19" s="66">
        <v>0</v>
      </c>
    </row>
    <row r="20" spans="5:17" ht="15.75" x14ac:dyDescent="0.25"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66"/>
    </row>
    <row r="21" spans="5:17" ht="15.75" x14ac:dyDescent="0.25">
      <c r="E21" s="20" t="s">
        <v>21</v>
      </c>
      <c r="F21" s="16">
        <f>G21+H21+I21+J21+K21+L21+M21+N21+O21+P21+Q21</f>
        <v>3947300</v>
      </c>
      <c r="G21" s="16">
        <v>0</v>
      </c>
      <c r="H21" s="16">
        <v>559109</v>
      </c>
      <c r="I21" s="16">
        <v>0</v>
      </c>
      <c r="J21" s="16">
        <v>1383667</v>
      </c>
      <c r="K21" s="16">
        <v>379375</v>
      </c>
      <c r="L21" s="16">
        <v>1625149</v>
      </c>
      <c r="M21" s="16">
        <v>0</v>
      </c>
      <c r="N21" s="16">
        <v>0</v>
      </c>
      <c r="O21" s="16">
        <v>0</v>
      </c>
      <c r="P21" s="16">
        <v>0</v>
      </c>
      <c r="Q21" s="66">
        <v>0</v>
      </c>
    </row>
    <row r="22" spans="5:17" ht="15.75" x14ac:dyDescent="0.25"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66"/>
    </row>
    <row r="23" spans="5:17" ht="15.75" x14ac:dyDescent="0.25">
      <c r="E23" s="20" t="s">
        <v>22</v>
      </c>
      <c r="F23" s="16">
        <f>G23+H23+I23+J23+K23+L23+M23+N23+O23+P23+Q23</f>
        <v>557962</v>
      </c>
      <c r="G23" s="16">
        <v>0</v>
      </c>
      <c r="H23" s="16">
        <v>23879</v>
      </c>
      <c r="I23" s="16">
        <v>0</v>
      </c>
      <c r="J23" s="16">
        <v>63724</v>
      </c>
      <c r="K23" s="16">
        <v>27890</v>
      </c>
      <c r="L23" s="16">
        <v>442469</v>
      </c>
      <c r="M23" s="16">
        <v>0</v>
      </c>
      <c r="N23" s="16">
        <v>0</v>
      </c>
      <c r="O23" s="16">
        <v>0</v>
      </c>
      <c r="P23" s="16">
        <v>0</v>
      </c>
      <c r="Q23" s="66">
        <v>0</v>
      </c>
    </row>
    <row r="24" spans="5:17" ht="15.75" x14ac:dyDescent="0.25">
      <c r="E24" s="2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66"/>
    </row>
    <row r="25" spans="5:17" ht="15.75" x14ac:dyDescent="0.25">
      <c r="E25" s="65" t="s">
        <v>3</v>
      </c>
      <c r="F25" s="16">
        <f>G25+H25+I25+J25+K25+L25+M25+N25+O25+P25+Q25</f>
        <v>272369892.301</v>
      </c>
      <c r="G25" s="16">
        <f t="shared" ref="G25:Q25" si="0">G7+G9+G11+G13+G15+G17+G19+G21+G23</f>
        <v>1088274</v>
      </c>
      <c r="H25" s="16">
        <f t="shared" si="0"/>
        <v>37022251</v>
      </c>
      <c r="I25" s="16">
        <f t="shared" si="0"/>
        <v>6672.3209999999999</v>
      </c>
      <c r="J25" s="16">
        <f t="shared" si="0"/>
        <v>78660166</v>
      </c>
      <c r="K25" s="16">
        <f>K7+K9+K11+K13+K15+K17+K19+K21+K23</f>
        <v>27415194</v>
      </c>
      <c r="L25" s="16">
        <f t="shared" si="0"/>
        <v>16119448</v>
      </c>
      <c r="M25" s="16">
        <f t="shared" si="0"/>
        <v>2313886</v>
      </c>
      <c r="N25" s="16">
        <f t="shared" si="0"/>
        <v>89140767</v>
      </c>
      <c r="O25" s="16">
        <f t="shared" si="0"/>
        <v>20577425.98</v>
      </c>
      <c r="P25" s="16">
        <f>P7+P9+P11+P13+P15+P17+P19+P21+P23</f>
        <v>0</v>
      </c>
      <c r="Q25" s="66">
        <f t="shared" si="0"/>
        <v>25808</v>
      </c>
    </row>
    <row r="26" spans="5:17" ht="16.5" thickBot="1" x14ac:dyDescent="0.3"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67"/>
    </row>
    <row r="27" spans="5:17" ht="16.5" thickTop="1" x14ac:dyDescent="0.25"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7"/>
    </row>
    <row r="28" spans="5:17" ht="15.75" x14ac:dyDescent="0.25">
      <c r="E28" s="33" t="s">
        <v>23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</row>
    <row r="29" spans="5:17" ht="15.75" x14ac:dyDescent="0.25"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7" ht="15.75" x14ac:dyDescent="0.25">
      <c r="F30" s="34"/>
      <c r="G30" s="35"/>
      <c r="H30" s="35"/>
      <c r="I30" s="35"/>
      <c r="J30" s="35"/>
      <c r="K30" s="35"/>
      <c r="L30" s="35"/>
      <c r="M30" s="35"/>
      <c r="N30" s="35"/>
      <c r="O30" s="35"/>
    </row>
    <row r="31" spans="5:17" ht="15.75" x14ac:dyDescent="0.25">
      <c r="E31" s="2" t="s">
        <v>0</v>
      </c>
      <c r="F31" s="3"/>
      <c r="G31" s="3"/>
      <c r="H31" s="7"/>
      <c r="I31" s="3"/>
      <c r="J31" s="7"/>
      <c r="K31" s="7"/>
      <c r="L31" s="7"/>
      <c r="M31" s="7"/>
      <c r="N31" s="7"/>
      <c r="O31" s="7"/>
      <c r="P31" s="7"/>
    </row>
    <row r="32" spans="5:17" ht="15.75" x14ac:dyDescent="0.25">
      <c r="F32" s="36"/>
      <c r="G32" s="37"/>
      <c r="H32" s="38"/>
      <c r="I32" s="38"/>
      <c r="J32" s="39" t="s">
        <v>1</v>
      </c>
      <c r="K32" s="39"/>
      <c r="L32" s="38"/>
      <c r="M32" s="38"/>
      <c r="N32" s="38"/>
      <c r="O32" s="38"/>
      <c r="P32" s="38"/>
    </row>
    <row r="33" spans="5:17" ht="15.75" x14ac:dyDescent="0.25">
      <c r="E33" s="77">
        <v>2020</v>
      </c>
      <c r="F33" s="3"/>
      <c r="G33" s="3"/>
      <c r="H33" s="7"/>
      <c r="I33" s="3"/>
      <c r="J33" s="7"/>
      <c r="K33" s="7"/>
      <c r="L33" s="7"/>
      <c r="M33" s="7"/>
      <c r="N33" s="7"/>
      <c r="O33" s="7"/>
      <c r="P33" s="7"/>
    </row>
    <row r="34" spans="5:17" ht="16.5" thickBot="1" x14ac:dyDescent="0.3">
      <c r="F34" s="36"/>
      <c r="G34" s="38"/>
      <c r="H34" s="38"/>
      <c r="I34" s="38"/>
      <c r="J34" s="38"/>
      <c r="K34" s="38"/>
      <c r="L34" s="38"/>
      <c r="M34" s="38"/>
      <c r="N34" s="38"/>
      <c r="Q34" s="76" t="s">
        <v>54</v>
      </c>
    </row>
    <row r="35" spans="5:17" ht="15.95" customHeight="1" thickTop="1" x14ac:dyDescent="0.25">
      <c r="E35" s="41" t="s">
        <v>24</v>
      </c>
      <c r="F35" s="42" t="s">
        <v>3</v>
      </c>
      <c r="G35" s="62" t="s">
        <v>43</v>
      </c>
      <c r="H35" s="62" t="s">
        <v>40</v>
      </c>
      <c r="I35" s="43" t="s">
        <v>6</v>
      </c>
      <c r="J35" s="43" t="s">
        <v>61</v>
      </c>
      <c r="K35" s="12" t="s">
        <v>60</v>
      </c>
      <c r="L35" s="43" t="s">
        <v>8</v>
      </c>
      <c r="M35" s="43" t="s">
        <v>25</v>
      </c>
      <c r="N35" s="44" t="s">
        <v>10</v>
      </c>
      <c r="O35" s="12" t="s">
        <v>11</v>
      </c>
      <c r="P35" s="13" t="s">
        <v>59</v>
      </c>
      <c r="Q35" s="63" t="s">
        <v>56</v>
      </c>
    </row>
    <row r="36" spans="5:17" ht="15.95" customHeight="1" x14ac:dyDescent="0.25">
      <c r="E36" s="45"/>
      <c r="F36" s="46"/>
      <c r="G36" s="46"/>
      <c r="H36" s="46"/>
      <c r="I36" s="46"/>
      <c r="J36" s="46"/>
      <c r="K36" s="46"/>
      <c r="L36" s="46"/>
      <c r="M36" s="46"/>
      <c r="N36" s="78"/>
      <c r="O36" s="46"/>
      <c r="P36" s="78"/>
      <c r="Q36" s="79"/>
    </row>
    <row r="37" spans="5:17" ht="15.95" customHeight="1" x14ac:dyDescent="0.25">
      <c r="E37" s="45" t="s">
        <v>26</v>
      </c>
      <c r="F37" s="49">
        <f>SUM(G37:Q37)</f>
        <v>22788080.98</v>
      </c>
      <c r="G37" s="49">
        <v>104104</v>
      </c>
      <c r="H37" s="49">
        <v>3472243</v>
      </c>
      <c r="I37" s="49">
        <v>2992</v>
      </c>
      <c r="J37" s="49">
        <v>6775955</v>
      </c>
      <c r="K37" s="49">
        <v>1683559</v>
      </c>
      <c r="L37" s="49">
        <v>1209247</v>
      </c>
      <c r="M37" s="80">
        <v>162545</v>
      </c>
      <c r="N37" s="80">
        <v>7520298</v>
      </c>
      <c r="O37" s="49">
        <v>1854799.98</v>
      </c>
      <c r="P37" s="83">
        <v>0</v>
      </c>
      <c r="Q37" s="81">
        <v>2338</v>
      </c>
    </row>
    <row r="38" spans="5:17" ht="15.95" customHeight="1" x14ac:dyDescent="0.25">
      <c r="E38" s="45" t="s">
        <v>27</v>
      </c>
      <c r="F38" s="49">
        <f>SUM(G38:Q38)</f>
        <v>21821723.079999998</v>
      </c>
      <c r="G38" s="49">
        <v>62628</v>
      </c>
      <c r="H38" s="49">
        <v>3019279</v>
      </c>
      <c r="I38" s="49">
        <v>3500.08</v>
      </c>
      <c r="J38" s="49">
        <v>5886891</v>
      </c>
      <c r="K38" s="49">
        <v>1534687</v>
      </c>
      <c r="L38" s="49">
        <v>1118664</v>
      </c>
      <c r="M38" s="80">
        <v>189124</v>
      </c>
      <c r="N38" s="80">
        <v>8249937</v>
      </c>
      <c r="O38" s="49">
        <v>1757013</v>
      </c>
      <c r="P38" s="83">
        <v>0</v>
      </c>
      <c r="Q38" s="81">
        <v>0</v>
      </c>
    </row>
    <row r="39" spans="5:17" ht="15.95" customHeight="1" x14ac:dyDescent="0.25">
      <c r="E39" s="45" t="s">
        <v>28</v>
      </c>
      <c r="F39" s="49">
        <f>SUM(G39:Q39)</f>
        <v>20738829</v>
      </c>
      <c r="G39" s="49">
        <v>61917</v>
      </c>
      <c r="H39" s="49">
        <v>2559617</v>
      </c>
      <c r="I39" s="49">
        <v>0</v>
      </c>
      <c r="J39" s="49">
        <v>5881353</v>
      </c>
      <c r="K39" s="49">
        <v>1819566</v>
      </c>
      <c r="L39" s="49">
        <v>1334256</v>
      </c>
      <c r="M39" s="80">
        <v>225253</v>
      </c>
      <c r="N39" s="80">
        <v>7037392</v>
      </c>
      <c r="O39" s="49">
        <v>1819475</v>
      </c>
      <c r="P39" s="83">
        <v>0</v>
      </c>
      <c r="Q39" s="81">
        <v>0</v>
      </c>
    </row>
    <row r="40" spans="5:17" ht="15.95" customHeight="1" x14ac:dyDescent="0.25">
      <c r="E40" s="45"/>
      <c r="F40" s="49">
        <f t="shared" ref="F40" si="1">F37+F38+F39</f>
        <v>65348633.060000002</v>
      </c>
      <c r="G40" s="49">
        <v>228649</v>
      </c>
      <c r="H40" s="49">
        <v>9051139</v>
      </c>
      <c r="I40" s="49">
        <v>6492.08</v>
      </c>
      <c r="J40" s="49">
        <v>18544199</v>
      </c>
      <c r="K40" s="49">
        <v>5037812</v>
      </c>
      <c r="L40" s="49">
        <v>3662167</v>
      </c>
      <c r="M40" s="80">
        <v>576922</v>
      </c>
      <c r="N40" s="80">
        <v>22807627</v>
      </c>
      <c r="O40" s="49">
        <v>5431287.9800000004</v>
      </c>
      <c r="P40" s="49">
        <v>0</v>
      </c>
      <c r="Q40" s="81">
        <v>2338</v>
      </c>
    </row>
    <row r="41" spans="5:17" ht="15.95" customHeight="1" x14ac:dyDescent="0.25">
      <c r="E41" s="45" t="s">
        <v>29</v>
      </c>
      <c r="F41" s="49">
        <f>SUM(G41:Q41)</f>
        <v>17430713</v>
      </c>
      <c r="G41" s="49">
        <v>31904</v>
      </c>
      <c r="H41" s="49">
        <v>1349780</v>
      </c>
      <c r="I41" s="49">
        <v>0</v>
      </c>
      <c r="J41" s="49">
        <v>4196685</v>
      </c>
      <c r="K41" s="49">
        <v>2167291</v>
      </c>
      <c r="L41" s="49">
        <v>1155669</v>
      </c>
      <c r="M41" s="80">
        <v>247476</v>
      </c>
      <c r="N41" s="80">
        <v>6502926</v>
      </c>
      <c r="O41" s="49">
        <v>1778982</v>
      </c>
      <c r="P41" s="83">
        <v>0</v>
      </c>
      <c r="Q41" s="81">
        <v>0</v>
      </c>
    </row>
    <row r="42" spans="5:17" ht="15.95" customHeight="1" x14ac:dyDescent="0.25">
      <c r="E42" s="45" t="s">
        <v>30</v>
      </c>
      <c r="F42" s="49">
        <f>SUM(G42:Q42)</f>
        <v>19812786.079999998</v>
      </c>
      <c r="G42" s="49">
        <v>80155</v>
      </c>
      <c r="H42" s="49">
        <v>2268113</v>
      </c>
      <c r="I42" s="49">
        <v>60.08</v>
      </c>
      <c r="J42" s="49">
        <v>5567587</v>
      </c>
      <c r="K42" s="49">
        <v>2943382</v>
      </c>
      <c r="L42" s="49">
        <v>1086944</v>
      </c>
      <c r="M42" s="80">
        <v>100207</v>
      </c>
      <c r="N42" s="80">
        <v>6087737</v>
      </c>
      <c r="O42" s="49">
        <v>1678601</v>
      </c>
      <c r="P42" s="83">
        <v>0</v>
      </c>
      <c r="Q42" s="81">
        <v>0</v>
      </c>
    </row>
    <row r="43" spans="5:17" ht="15.95" customHeight="1" x14ac:dyDescent="0.25">
      <c r="E43" s="45" t="s">
        <v>31</v>
      </c>
      <c r="F43" s="49">
        <f>SUM(G43:Q43)</f>
        <v>23520214</v>
      </c>
      <c r="G43" s="49">
        <v>146251</v>
      </c>
      <c r="H43" s="49">
        <v>3420519</v>
      </c>
      <c r="I43" s="49">
        <v>0</v>
      </c>
      <c r="J43" s="49">
        <v>7217845</v>
      </c>
      <c r="K43" s="49">
        <v>3055286</v>
      </c>
      <c r="L43" s="49">
        <v>1411361</v>
      </c>
      <c r="M43" s="80">
        <v>244322</v>
      </c>
      <c r="N43" s="80">
        <v>6264003</v>
      </c>
      <c r="O43" s="49">
        <v>1760627</v>
      </c>
      <c r="P43" s="83">
        <v>0</v>
      </c>
      <c r="Q43" s="81">
        <v>0</v>
      </c>
    </row>
    <row r="44" spans="5:17" ht="15.95" customHeight="1" x14ac:dyDescent="0.25">
      <c r="E44" s="45"/>
      <c r="F44" s="49">
        <f t="shared" ref="F44" si="2">F41+F42+F43</f>
        <v>60763713.079999998</v>
      </c>
      <c r="G44" s="49">
        <v>258310</v>
      </c>
      <c r="H44" s="49">
        <v>7038412</v>
      </c>
      <c r="I44" s="49">
        <v>60.08</v>
      </c>
      <c r="J44" s="49">
        <v>16982117</v>
      </c>
      <c r="K44" s="49">
        <v>8165959</v>
      </c>
      <c r="L44" s="49">
        <v>3653974</v>
      </c>
      <c r="M44" s="80">
        <v>592005</v>
      </c>
      <c r="N44" s="80">
        <v>18854666</v>
      </c>
      <c r="O44" s="49">
        <v>5218210</v>
      </c>
      <c r="P44" s="49">
        <v>0</v>
      </c>
      <c r="Q44" s="81">
        <v>0</v>
      </c>
    </row>
    <row r="45" spans="5:17" ht="15.95" customHeight="1" x14ac:dyDescent="0.25">
      <c r="E45" s="45" t="s">
        <v>32</v>
      </c>
      <c r="F45" s="49">
        <f>SUM(G45:Q45)</f>
        <v>26584324</v>
      </c>
      <c r="G45" s="49">
        <v>129684</v>
      </c>
      <c r="H45" s="49">
        <v>3619925</v>
      </c>
      <c r="I45" s="49">
        <v>0</v>
      </c>
      <c r="J45" s="49">
        <v>7682548</v>
      </c>
      <c r="K45" s="49">
        <v>2649222</v>
      </c>
      <c r="L45" s="49">
        <v>1697319</v>
      </c>
      <c r="M45" s="80">
        <v>133190</v>
      </c>
      <c r="N45" s="80">
        <v>9052137</v>
      </c>
      <c r="O45" s="49">
        <v>1620299</v>
      </c>
      <c r="P45" s="83"/>
      <c r="Q45" s="81"/>
    </row>
    <row r="46" spans="5:17" ht="15.95" customHeight="1" x14ac:dyDescent="0.25">
      <c r="E46" s="45" t="s">
        <v>41</v>
      </c>
      <c r="F46" s="49">
        <f>SUM(G46:Q46)</f>
        <v>24765485</v>
      </c>
      <c r="G46" s="49">
        <v>80611</v>
      </c>
      <c r="H46" s="49">
        <v>3838305</v>
      </c>
      <c r="I46" s="49">
        <v>0</v>
      </c>
      <c r="J46" s="49">
        <v>6962530</v>
      </c>
      <c r="K46" s="49">
        <v>2461425</v>
      </c>
      <c r="L46" s="49">
        <v>1594526</v>
      </c>
      <c r="M46" s="80">
        <v>154251</v>
      </c>
      <c r="N46" s="80">
        <v>8242794</v>
      </c>
      <c r="O46" s="49">
        <v>1427580</v>
      </c>
      <c r="P46" s="83">
        <v>0</v>
      </c>
      <c r="Q46" s="81">
        <v>3463</v>
      </c>
    </row>
    <row r="47" spans="5:17" ht="15.95" customHeight="1" x14ac:dyDescent="0.25">
      <c r="E47" s="45" t="s">
        <v>34</v>
      </c>
      <c r="F47" s="49">
        <f>SUM(G47:Q47)</f>
        <v>25362793</v>
      </c>
      <c r="G47" s="49">
        <v>106380</v>
      </c>
      <c r="H47" s="49">
        <v>3353732</v>
      </c>
      <c r="I47" s="49">
        <v>0</v>
      </c>
      <c r="J47" s="49">
        <v>6824900</v>
      </c>
      <c r="K47" s="49">
        <v>2477288</v>
      </c>
      <c r="L47" s="49">
        <v>1597318</v>
      </c>
      <c r="M47" s="80">
        <v>266586</v>
      </c>
      <c r="N47" s="80">
        <v>9066015</v>
      </c>
      <c r="O47" s="49">
        <v>1670574</v>
      </c>
      <c r="P47" s="83">
        <v>0</v>
      </c>
      <c r="Q47" s="81">
        <v>0</v>
      </c>
    </row>
    <row r="48" spans="5:17" ht="15.95" customHeight="1" x14ac:dyDescent="0.25">
      <c r="E48" s="45"/>
      <c r="F48" s="49">
        <f t="shared" ref="F48" si="3">F45+F46+F47</f>
        <v>76712602</v>
      </c>
      <c r="G48" s="49">
        <v>316675</v>
      </c>
      <c r="H48" s="49">
        <v>10811962</v>
      </c>
      <c r="I48" s="49">
        <v>0</v>
      </c>
      <c r="J48" s="49">
        <v>21469978</v>
      </c>
      <c r="K48" s="49">
        <v>7587935</v>
      </c>
      <c r="L48" s="49">
        <v>4889163</v>
      </c>
      <c r="M48" s="80">
        <v>554027</v>
      </c>
      <c r="N48" s="80">
        <v>26360946</v>
      </c>
      <c r="O48" s="49">
        <v>4718453</v>
      </c>
      <c r="P48" s="49">
        <v>0</v>
      </c>
      <c r="Q48" s="81">
        <v>3463</v>
      </c>
    </row>
    <row r="49" spans="5:17" ht="15.95" customHeight="1" x14ac:dyDescent="0.25">
      <c r="E49" s="45" t="s">
        <v>35</v>
      </c>
      <c r="F49" s="49">
        <f>SUM(G49:Q49)</f>
        <v>24088823.160999998</v>
      </c>
      <c r="G49" s="49">
        <v>71506</v>
      </c>
      <c r="H49" s="49">
        <v>3634296</v>
      </c>
      <c r="I49" s="49">
        <v>120.161</v>
      </c>
      <c r="J49" s="49">
        <v>7445102</v>
      </c>
      <c r="K49" s="49">
        <v>2426426</v>
      </c>
      <c r="L49" s="49">
        <v>1286285</v>
      </c>
      <c r="M49" s="80">
        <v>108223</v>
      </c>
      <c r="N49" s="80">
        <v>7373181</v>
      </c>
      <c r="O49" s="49">
        <v>1727301</v>
      </c>
      <c r="P49" s="83">
        <v>0</v>
      </c>
      <c r="Q49" s="81">
        <v>16383</v>
      </c>
    </row>
    <row r="50" spans="5:17" ht="15.95" customHeight="1" x14ac:dyDescent="0.25">
      <c r="E50" s="45" t="s">
        <v>36</v>
      </c>
      <c r="F50" s="49">
        <f>SUM(G50:Q50)</f>
        <v>22428914</v>
      </c>
      <c r="G50" s="49">
        <v>99109</v>
      </c>
      <c r="H50" s="49">
        <v>3125458</v>
      </c>
      <c r="I50" s="49">
        <v>0</v>
      </c>
      <c r="J50" s="49">
        <v>7049843</v>
      </c>
      <c r="K50" s="49">
        <v>1937742</v>
      </c>
      <c r="L50" s="49">
        <v>1375071</v>
      </c>
      <c r="M50" s="80">
        <v>263886</v>
      </c>
      <c r="N50" s="80">
        <v>6840057</v>
      </c>
      <c r="O50" s="49">
        <v>1737748</v>
      </c>
      <c r="P50" s="83">
        <v>0</v>
      </c>
      <c r="Q50" s="81">
        <v>0</v>
      </c>
    </row>
    <row r="51" spans="5:17" ht="15.95" customHeight="1" x14ac:dyDescent="0.25">
      <c r="E51" s="45" t="s">
        <v>37</v>
      </c>
      <c r="F51" s="49">
        <f>SUM(G51:Q51)</f>
        <v>23027207</v>
      </c>
      <c r="G51" s="49">
        <v>114025</v>
      </c>
      <c r="H51" s="49">
        <v>3360984</v>
      </c>
      <c r="I51" s="49">
        <v>0</v>
      </c>
      <c r="J51" s="49">
        <v>7168927</v>
      </c>
      <c r="K51" s="49">
        <v>2259320</v>
      </c>
      <c r="L51" s="49">
        <v>1252788</v>
      </c>
      <c r="M51" s="80">
        <v>218823</v>
      </c>
      <c r="N51" s="80">
        <v>6904290</v>
      </c>
      <c r="O51" s="49">
        <v>1744426</v>
      </c>
      <c r="P51" s="83">
        <v>0</v>
      </c>
      <c r="Q51" s="81">
        <v>3624</v>
      </c>
    </row>
    <row r="52" spans="5:17" ht="15.95" customHeight="1" x14ac:dyDescent="0.25">
      <c r="E52" s="45"/>
      <c r="F52" s="49">
        <f t="shared" ref="F52" si="4">F49+F50+F51</f>
        <v>69544944.160999998</v>
      </c>
      <c r="G52" s="49">
        <v>284640</v>
      </c>
      <c r="H52" s="49">
        <v>10120738</v>
      </c>
      <c r="I52" s="49">
        <v>120.161</v>
      </c>
      <c r="J52" s="49">
        <v>21663872</v>
      </c>
      <c r="K52" s="49">
        <v>6623488</v>
      </c>
      <c r="L52" s="49">
        <v>3914144</v>
      </c>
      <c r="M52" s="80">
        <v>590932</v>
      </c>
      <c r="N52" s="82">
        <v>21117528</v>
      </c>
      <c r="O52" s="49">
        <v>5209475</v>
      </c>
      <c r="P52" s="49">
        <v>0</v>
      </c>
      <c r="Q52" s="81">
        <v>20007</v>
      </c>
    </row>
    <row r="53" spans="5:17" ht="15.95" customHeight="1" x14ac:dyDescent="0.25">
      <c r="E53" s="70" t="s">
        <v>38</v>
      </c>
      <c r="F53" s="49">
        <f t="shared" ref="F53:P53" si="5">F37+F38+F39+F41+F42+F43+F45+F46+F47+F49+F50+F51</f>
        <v>272369892.301</v>
      </c>
      <c r="G53" s="49">
        <f t="shared" si="5"/>
        <v>1088274</v>
      </c>
      <c r="H53" s="49">
        <f t="shared" si="5"/>
        <v>37022251</v>
      </c>
      <c r="I53" s="49">
        <f t="shared" si="5"/>
        <v>6672.3209999999999</v>
      </c>
      <c r="J53" s="49">
        <f t="shared" si="5"/>
        <v>78660166</v>
      </c>
      <c r="K53" s="49">
        <f>K37+K38+K39+K41+K42+K43+K45+K46+K47+K49+K50+K51</f>
        <v>27415194</v>
      </c>
      <c r="L53" s="49">
        <f t="shared" si="5"/>
        <v>16119448</v>
      </c>
      <c r="M53" s="49">
        <f t="shared" si="5"/>
        <v>2313886</v>
      </c>
      <c r="N53" s="83">
        <f t="shared" si="5"/>
        <v>89140767</v>
      </c>
      <c r="O53" s="49">
        <f t="shared" si="5"/>
        <v>20577425.98</v>
      </c>
      <c r="P53" s="49">
        <f t="shared" si="5"/>
        <v>0</v>
      </c>
      <c r="Q53" s="81">
        <f>Q37+Q38+Q39+Q41+Q42+Q43+Q45+Q46+Q47+Q49+Q50+Q51</f>
        <v>25808</v>
      </c>
    </row>
    <row r="54" spans="5:17" ht="15.95" customHeight="1" thickBot="1" x14ac:dyDescent="0.3">
      <c r="E54" s="58"/>
      <c r="F54" s="26"/>
      <c r="G54" s="27"/>
      <c r="H54" s="27"/>
      <c r="I54" s="27"/>
      <c r="J54" s="27"/>
      <c r="K54" s="27"/>
      <c r="L54" s="27"/>
      <c r="M54" s="27"/>
      <c r="N54" s="28"/>
      <c r="O54" s="27"/>
      <c r="P54" s="28"/>
      <c r="Q54" s="67"/>
    </row>
    <row r="55" spans="5:17" ht="16.5" thickTop="1" x14ac:dyDescent="0.25">
      <c r="F55" s="59"/>
      <c r="G55" s="60"/>
      <c r="H55" s="60"/>
      <c r="I55" s="60"/>
      <c r="J55" s="60"/>
      <c r="K55" s="60"/>
      <c r="L55" s="60"/>
      <c r="M55" s="60"/>
      <c r="N55" s="60"/>
      <c r="O55" s="60"/>
      <c r="P55" s="37"/>
    </row>
    <row r="56" spans="5:17" ht="15.75" x14ac:dyDescent="0.25">
      <c r="E56" s="33" t="s">
        <v>23</v>
      </c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37"/>
    </row>
    <row r="57" spans="5:17" ht="15.75" x14ac:dyDescent="0.25">
      <c r="E57" s="61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37"/>
    </row>
    <row r="58" spans="5:17" ht="15.75" x14ac:dyDescent="0.25">
      <c r="F58" s="59"/>
      <c r="G58" s="60"/>
      <c r="H58" s="60"/>
      <c r="I58" s="60"/>
      <c r="J58" s="60"/>
      <c r="K58" s="60"/>
      <c r="L58" s="60"/>
      <c r="M58" s="60"/>
      <c r="N58" s="60"/>
      <c r="O58" s="60"/>
    </row>
    <row r="59" spans="5:17" ht="15.75" x14ac:dyDescent="0.25">
      <c r="F59" s="59"/>
      <c r="G59" s="60"/>
      <c r="H59" s="60"/>
      <c r="I59" s="60"/>
      <c r="J59" s="60"/>
      <c r="K59" s="60"/>
      <c r="L59" s="60"/>
      <c r="M59" s="60"/>
      <c r="N59" s="60"/>
      <c r="O59" s="60"/>
    </row>
    <row r="60" spans="5:17" ht="15.75" x14ac:dyDescent="0.25">
      <c r="F60" s="59"/>
      <c r="G60" s="60"/>
      <c r="H60" s="60"/>
      <c r="I60" s="60"/>
      <c r="J60" s="60"/>
      <c r="K60" s="60"/>
      <c r="L60" s="60"/>
      <c r="M60" s="60"/>
      <c r="N60" s="60"/>
      <c r="O60" s="60"/>
    </row>
    <row r="61" spans="5:17" ht="15.75" x14ac:dyDescent="0.25">
      <c r="F61" s="59"/>
      <c r="G61" s="60"/>
      <c r="H61" s="60"/>
      <c r="I61" s="60"/>
      <c r="J61" s="60"/>
      <c r="K61" s="60"/>
      <c r="L61" s="60"/>
      <c r="M61" s="60"/>
      <c r="N61" s="60"/>
      <c r="O61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syncVertical="1" syncRef="D1" transitionEvaluation="1"/>
  <dimension ref="A1:Q61"/>
  <sheetViews>
    <sheetView showGridLines="0" topLeftCell="D1" workbookViewId="0">
      <selection activeCell="E2" sqref="E2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22.85546875" style="1" bestFit="1" customWidth="1"/>
    <col min="11" max="11" width="21.140625" style="1" bestFit="1" customWidth="1"/>
    <col min="12" max="12" width="15" style="1" customWidth="1"/>
    <col min="13" max="13" width="14.5703125" style="1" customWidth="1"/>
    <col min="14" max="15" width="14.28515625" style="1" customWidth="1"/>
    <col min="16" max="17" width="14.140625" style="1" customWidth="1"/>
    <col min="18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22.85546875" style="1" bestFit="1" customWidth="1"/>
    <col min="267" max="267" width="21.140625" style="1" bestFit="1" customWidth="1"/>
    <col min="268" max="268" width="15" style="1" customWidth="1"/>
    <col min="269" max="269" width="14.5703125" style="1" customWidth="1"/>
    <col min="270" max="271" width="14.28515625" style="1" customWidth="1"/>
    <col min="272" max="273" width="14.140625" style="1" customWidth="1"/>
    <col min="274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22.85546875" style="1" bestFit="1" customWidth="1"/>
    <col min="523" max="523" width="21.140625" style="1" bestFit="1" customWidth="1"/>
    <col min="524" max="524" width="15" style="1" customWidth="1"/>
    <col min="525" max="525" width="14.5703125" style="1" customWidth="1"/>
    <col min="526" max="527" width="14.28515625" style="1" customWidth="1"/>
    <col min="528" max="529" width="14.140625" style="1" customWidth="1"/>
    <col min="530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22.85546875" style="1" bestFit="1" customWidth="1"/>
    <col min="779" max="779" width="21.140625" style="1" bestFit="1" customWidth="1"/>
    <col min="780" max="780" width="15" style="1" customWidth="1"/>
    <col min="781" max="781" width="14.5703125" style="1" customWidth="1"/>
    <col min="782" max="783" width="14.28515625" style="1" customWidth="1"/>
    <col min="784" max="785" width="14.140625" style="1" customWidth="1"/>
    <col min="786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22.85546875" style="1" bestFit="1" customWidth="1"/>
    <col min="1035" max="1035" width="21.140625" style="1" bestFit="1" customWidth="1"/>
    <col min="1036" max="1036" width="15" style="1" customWidth="1"/>
    <col min="1037" max="1037" width="14.5703125" style="1" customWidth="1"/>
    <col min="1038" max="1039" width="14.28515625" style="1" customWidth="1"/>
    <col min="1040" max="1041" width="14.140625" style="1" customWidth="1"/>
    <col min="1042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22.85546875" style="1" bestFit="1" customWidth="1"/>
    <col min="1291" max="1291" width="21.140625" style="1" bestFit="1" customWidth="1"/>
    <col min="1292" max="1292" width="15" style="1" customWidth="1"/>
    <col min="1293" max="1293" width="14.5703125" style="1" customWidth="1"/>
    <col min="1294" max="1295" width="14.28515625" style="1" customWidth="1"/>
    <col min="1296" max="1297" width="14.140625" style="1" customWidth="1"/>
    <col min="1298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22.85546875" style="1" bestFit="1" customWidth="1"/>
    <col min="1547" max="1547" width="21.140625" style="1" bestFit="1" customWidth="1"/>
    <col min="1548" max="1548" width="15" style="1" customWidth="1"/>
    <col min="1549" max="1549" width="14.5703125" style="1" customWidth="1"/>
    <col min="1550" max="1551" width="14.28515625" style="1" customWidth="1"/>
    <col min="1552" max="1553" width="14.140625" style="1" customWidth="1"/>
    <col min="1554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22.85546875" style="1" bestFit="1" customWidth="1"/>
    <col min="1803" max="1803" width="21.140625" style="1" bestFit="1" customWidth="1"/>
    <col min="1804" max="1804" width="15" style="1" customWidth="1"/>
    <col min="1805" max="1805" width="14.5703125" style="1" customWidth="1"/>
    <col min="1806" max="1807" width="14.28515625" style="1" customWidth="1"/>
    <col min="1808" max="1809" width="14.140625" style="1" customWidth="1"/>
    <col min="1810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22.85546875" style="1" bestFit="1" customWidth="1"/>
    <col min="2059" max="2059" width="21.140625" style="1" bestFit="1" customWidth="1"/>
    <col min="2060" max="2060" width="15" style="1" customWidth="1"/>
    <col min="2061" max="2061" width="14.5703125" style="1" customWidth="1"/>
    <col min="2062" max="2063" width="14.28515625" style="1" customWidth="1"/>
    <col min="2064" max="2065" width="14.140625" style="1" customWidth="1"/>
    <col min="2066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22.85546875" style="1" bestFit="1" customWidth="1"/>
    <col min="2315" max="2315" width="21.140625" style="1" bestFit="1" customWidth="1"/>
    <col min="2316" max="2316" width="15" style="1" customWidth="1"/>
    <col min="2317" max="2317" width="14.5703125" style="1" customWidth="1"/>
    <col min="2318" max="2319" width="14.28515625" style="1" customWidth="1"/>
    <col min="2320" max="2321" width="14.140625" style="1" customWidth="1"/>
    <col min="2322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22.85546875" style="1" bestFit="1" customWidth="1"/>
    <col min="2571" max="2571" width="21.140625" style="1" bestFit="1" customWidth="1"/>
    <col min="2572" max="2572" width="15" style="1" customWidth="1"/>
    <col min="2573" max="2573" width="14.5703125" style="1" customWidth="1"/>
    <col min="2574" max="2575" width="14.28515625" style="1" customWidth="1"/>
    <col min="2576" max="2577" width="14.140625" style="1" customWidth="1"/>
    <col min="2578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22.85546875" style="1" bestFit="1" customWidth="1"/>
    <col min="2827" max="2827" width="21.140625" style="1" bestFit="1" customWidth="1"/>
    <col min="2828" max="2828" width="15" style="1" customWidth="1"/>
    <col min="2829" max="2829" width="14.5703125" style="1" customWidth="1"/>
    <col min="2830" max="2831" width="14.28515625" style="1" customWidth="1"/>
    <col min="2832" max="2833" width="14.140625" style="1" customWidth="1"/>
    <col min="2834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22.85546875" style="1" bestFit="1" customWidth="1"/>
    <col min="3083" max="3083" width="21.140625" style="1" bestFit="1" customWidth="1"/>
    <col min="3084" max="3084" width="15" style="1" customWidth="1"/>
    <col min="3085" max="3085" width="14.5703125" style="1" customWidth="1"/>
    <col min="3086" max="3087" width="14.28515625" style="1" customWidth="1"/>
    <col min="3088" max="3089" width="14.140625" style="1" customWidth="1"/>
    <col min="3090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22.85546875" style="1" bestFit="1" customWidth="1"/>
    <col min="3339" max="3339" width="21.140625" style="1" bestFit="1" customWidth="1"/>
    <col min="3340" max="3340" width="15" style="1" customWidth="1"/>
    <col min="3341" max="3341" width="14.5703125" style="1" customWidth="1"/>
    <col min="3342" max="3343" width="14.28515625" style="1" customWidth="1"/>
    <col min="3344" max="3345" width="14.140625" style="1" customWidth="1"/>
    <col min="3346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22.85546875" style="1" bestFit="1" customWidth="1"/>
    <col min="3595" max="3595" width="21.140625" style="1" bestFit="1" customWidth="1"/>
    <col min="3596" max="3596" width="15" style="1" customWidth="1"/>
    <col min="3597" max="3597" width="14.5703125" style="1" customWidth="1"/>
    <col min="3598" max="3599" width="14.28515625" style="1" customWidth="1"/>
    <col min="3600" max="3601" width="14.140625" style="1" customWidth="1"/>
    <col min="3602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22.85546875" style="1" bestFit="1" customWidth="1"/>
    <col min="3851" max="3851" width="21.140625" style="1" bestFit="1" customWidth="1"/>
    <col min="3852" max="3852" width="15" style="1" customWidth="1"/>
    <col min="3853" max="3853" width="14.5703125" style="1" customWidth="1"/>
    <col min="3854" max="3855" width="14.28515625" style="1" customWidth="1"/>
    <col min="3856" max="3857" width="14.140625" style="1" customWidth="1"/>
    <col min="3858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22.85546875" style="1" bestFit="1" customWidth="1"/>
    <col min="4107" max="4107" width="21.140625" style="1" bestFit="1" customWidth="1"/>
    <col min="4108" max="4108" width="15" style="1" customWidth="1"/>
    <col min="4109" max="4109" width="14.5703125" style="1" customWidth="1"/>
    <col min="4110" max="4111" width="14.28515625" style="1" customWidth="1"/>
    <col min="4112" max="4113" width="14.140625" style="1" customWidth="1"/>
    <col min="4114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22.85546875" style="1" bestFit="1" customWidth="1"/>
    <col min="4363" max="4363" width="21.140625" style="1" bestFit="1" customWidth="1"/>
    <col min="4364" max="4364" width="15" style="1" customWidth="1"/>
    <col min="4365" max="4365" width="14.5703125" style="1" customWidth="1"/>
    <col min="4366" max="4367" width="14.28515625" style="1" customWidth="1"/>
    <col min="4368" max="4369" width="14.140625" style="1" customWidth="1"/>
    <col min="4370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22.85546875" style="1" bestFit="1" customWidth="1"/>
    <col min="4619" max="4619" width="21.140625" style="1" bestFit="1" customWidth="1"/>
    <col min="4620" max="4620" width="15" style="1" customWidth="1"/>
    <col min="4621" max="4621" width="14.5703125" style="1" customWidth="1"/>
    <col min="4622" max="4623" width="14.28515625" style="1" customWidth="1"/>
    <col min="4624" max="4625" width="14.140625" style="1" customWidth="1"/>
    <col min="4626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22.85546875" style="1" bestFit="1" customWidth="1"/>
    <col min="4875" max="4875" width="21.140625" style="1" bestFit="1" customWidth="1"/>
    <col min="4876" max="4876" width="15" style="1" customWidth="1"/>
    <col min="4877" max="4877" width="14.5703125" style="1" customWidth="1"/>
    <col min="4878" max="4879" width="14.28515625" style="1" customWidth="1"/>
    <col min="4880" max="4881" width="14.140625" style="1" customWidth="1"/>
    <col min="4882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22.85546875" style="1" bestFit="1" customWidth="1"/>
    <col min="5131" max="5131" width="21.140625" style="1" bestFit="1" customWidth="1"/>
    <col min="5132" max="5132" width="15" style="1" customWidth="1"/>
    <col min="5133" max="5133" width="14.5703125" style="1" customWidth="1"/>
    <col min="5134" max="5135" width="14.28515625" style="1" customWidth="1"/>
    <col min="5136" max="5137" width="14.140625" style="1" customWidth="1"/>
    <col min="5138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22.85546875" style="1" bestFit="1" customWidth="1"/>
    <col min="5387" max="5387" width="21.140625" style="1" bestFit="1" customWidth="1"/>
    <col min="5388" max="5388" width="15" style="1" customWidth="1"/>
    <col min="5389" max="5389" width="14.5703125" style="1" customWidth="1"/>
    <col min="5390" max="5391" width="14.28515625" style="1" customWidth="1"/>
    <col min="5392" max="5393" width="14.140625" style="1" customWidth="1"/>
    <col min="5394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22.85546875" style="1" bestFit="1" customWidth="1"/>
    <col min="5643" max="5643" width="21.140625" style="1" bestFit="1" customWidth="1"/>
    <col min="5644" max="5644" width="15" style="1" customWidth="1"/>
    <col min="5645" max="5645" width="14.5703125" style="1" customWidth="1"/>
    <col min="5646" max="5647" width="14.28515625" style="1" customWidth="1"/>
    <col min="5648" max="5649" width="14.140625" style="1" customWidth="1"/>
    <col min="5650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22.85546875" style="1" bestFit="1" customWidth="1"/>
    <col min="5899" max="5899" width="21.140625" style="1" bestFit="1" customWidth="1"/>
    <col min="5900" max="5900" width="15" style="1" customWidth="1"/>
    <col min="5901" max="5901" width="14.5703125" style="1" customWidth="1"/>
    <col min="5902" max="5903" width="14.28515625" style="1" customWidth="1"/>
    <col min="5904" max="5905" width="14.140625" style="1" customWidth="1"/>
    <col min="5906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22.85546875" style="1" bestFit="1" customWidth="1"/>
    <col min="6155" max="6155" width="21.140625" style="1" bestFit="1" customWidth="1"/>
    <col min="6156" max="6156" width="15" style="1" customWidth="1"/>
    <col min="6157" max="6157" width="14.5703125" style="1" customWidth="1"/>
    <col min="6158" max="6159" width="14.28515625" style="1" customWidth="1"/>
    <col min="6160" max="6161" width="14.140625" style="1" customWidth="1"/>
    <col min="6162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22.85546875" style="1" bestFit="1" customWidth="1"/>
    <col min="6411" max="6411" width="21.140625" style="1" bestFit="1" customWidth="1"/>
    <col min="6412" max="6412" width="15" style="1" customWidth="1"/>
    <col min="6413" max="6413" width="14.5703125" style="1" customWidth="1"/>
    <col min="6414" max="6415" width="14.28515625" style="1" customWidth="1"/>
    <col min="6416" max="6417" width="14.140625" style="1" customWidth="1"/>
    <col min="6418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22.85546875" style="1" bestFit="1" customWidth="1"/>
    <col min="6667" max="6667" width="21.140625" style="1" bestFit="1" customWidth="1"/>
    <col min="6668" max="6668" width="15" style="1" customWidth="1"/>
    <col min="6669" max="6669" width="14.5703125" style="1" customWidth="1"/>
    <col min="6670" max="6671" width="14.28515625" style="1" customWidth="1"/>
    <col min="6672" max="6673" width="14.140625" style="1" customWidth="1"/>
    <col min="6674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22.85546875" style="1" bestFit="1" customWidth="1"/>
    <col min="6923" max="6923" width="21.140625" style="1" bestFit="1" customWidth="1"/>
    <col min="6924" max="6924" width="15" style="1" customWidth="1"/>
    <col min="6925" max="6925" width="14.5703125" style="1" customWidth="1"/>
    <col min="6926" max="6927" width="14.28515625" style="1" customWidth="1"/>
    <col min="6928" max="6929" width="14.140625" style="1" customWidth="1"/>
    <col min="6930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22.85546875" style="1" bestFit="1" customWidth="1"/>
    <col min="7179" max="7179" width="21.140625" style="1" bestFit="1" customWidth="1"/>
    <col min="7180" max="7180" width="15" style="1" customWidth="1"/>
    <col min="7181" max="7181" width="14.5703125" style="1" customWidth="1"/>
    <col min="7182" max="7183" width="14.28515625" style="1" customWidth="1"/>
    <col min="7184" max="7185" width="14.140625" style="1" customWidth="1"/>
    <col min="7186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22.85546875" style="1" bestFit="1" customWidth="1"/>
    <col min="7435" max="7435" width="21.140625" style="1" bestFit="1" customWidth="1"/>
    <col min="7436" max="7436" width="15" style="1" customWidth="1"/>
    <col min="7437" max="7437" width="14.5703125" style="1" customWidth="1"/>
    <col min="7438" max="7439" width="14.28515625" style="1" customWidth="1"/>
    <col min="7440" max="7441" width="14.140625" style="1" customWidth="1"/>
    <col min="7442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22.85546875" style="1" bestFit="1" customWidth="1"/>
    <col min="7691" max="7691" width="21.140625" style="1" bestFit="1" customWidth="1"/>
    <col min="7692" max="7692" width="15" style="1" customWidth="1"/>
    <col min="7693" max="7693" width="14.5703125" style="1" customWidth="1"/>
    <col min="7694" max="7695" width="14.28515625" style="1" customWidth="1"/>
    <col min="7696" max="7697" width="14.140625" style="1" customWidth="1"/>
    <col min="7698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22.85546875" style="1" bestFit="1" customWidth="1"/>
    <col min="7947" max="7947" width="21.140625" style="1" bestFit="1" customWidth="1"/>
    <col min="7948" max="7948" width="15" style="1" customWidth="1"/>
    <col min="7949" max="7949" width="14.5703125" style="1" customWidth="1"/>
    <col min="7950" max="7951" width="14.28515625" style="1" customWidth="1"/>
    <col min="7952" max="7953" width="14.140625" style="1" customWidth="1"/>
    <col min="7954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22.85546875" style="1" bestFit="1" customWidth="1"/>
    <col min="8203" max="8203" width="21.140625" style="1" bestFit="1" customWidth="1"/>
    <col min="8204" max="8204" width="15" style="1" customWidth="1"/>
    <col min="8205" max="8205" width="14.5703125" style="1" customWidth="1"/>
    <col min="8206" max="8207" width="14.28515625" style="1" customWidth="1"/>
    <col min="8208" max="8209" width="14.140625" style="1" customWidth="1"/>
    <col min="8210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22.85546875" style="1" bestFit="1" customWidth="1"/>
    <col min="8459" max="8459" width="21.140625" style="1" bestFit="1" customWidth="1"/>
    <col min="8460" max="8460" width="15" style="1" customWidth="1"/>
    <col min="8461" max="8461" width="14.5703125" style="1" customWidth="1"/>
    <col min="8462" max="8463" width="14.28515625" style="1" customWidth="1"/>
    <col min="8464" max="8465" width="14.140625" style="1" customWidth="1"/>
    <col min="8466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22.85546875" style="1" bestFit="1" customWidth="1"/>
    <col min="8715" max="8715" width="21.140625" style="1" bestFit="1" customWidth="1"/>
    <col min="8716" max="8716" width="15" style="1" customWidth="1"/>
    <col min="8717" max="8717" width="14.5703125" style="1" customWidth="1"/>
    <col min="8718" max="8719" width="14.28515625" style="1" customWidth="1"/>
    <col min="8720" max="8721" width="14.140625" style="1" customWidth="1"/>
    <col min="8722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22.85546875" style="1" bestFit="1" customWidth="1"/>
    <col min="8971" max="8971" width="21.140625" style="1" bestFit="1" customWidth="1"/>
    <col min="8972" max="8972" width="15" style="1" customWidth="1"/>
    <col min="8973" max="8973" width="14.5703125" style="1" customWidth="1"/>
    <col min="8974" max="8975" width="14.28515625" style="1" customWidth="1"/>
    <col min="8976" max="8977" width="14.140625" style="1" customWidth="1"/>
    <col min="8978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22.85546875" style="1" bestFit="1" customWidth="1"/>
    <col min="9227" max="9227" width="21.140625" style="1" bestFit="1" customWidth="1"/>
    <col min="9228" max="9228" width="15" style="1" customWidth="1"/>
    <col min="9229" max="9229" width="14.5703125" style="1" customWidth="1"/>
    <col min="9230" max="9231" width="14.28515625" style="1" customWidth="1"/>
    <col min="9232" max="9233" width="14.140625" style="1" customWidth="1"/>
    <col min="9234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22.85546875" style="1" bestFit="1" customWidth="1"/>
    <col min="9483" max="9483" width="21.140625" style="1" bestFit="1" customWidth="1"/>
    <col min="9484" max="9484" width="15" style="1" customWidth="1"/>
    <col min="9485" max="9485" width="14.5703125" style="1" customWidth="1"/>
    <col min="9486" max="9487" width="14.28515625" style="1" customWidth="1"/>
    <col min="9488" max="9489" width="14.140625" style="1" customWidth="1"/>
    <col min="9490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22.85546875" style="1" bestFit="1" customWidth="1"/>
    <col min="9739" max="9739" width="21.140625" style="1" bestFit="1" customWidth="1"/>
    <col min="9740" max="9740" width="15" style="1" customWidth="1"/>
    <col min="9741" max="9741" width="14.5703125" style="1" customWidth="1"/>
    <col min="9742" max="9743" width="14.28515625" style="1" customWidth="1"/>
    <col min="9744" max="9745" width="14.140625" style="1" customWidth="1"/>
    <col min="9746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22.85546875" style="1" bestFit="1" customWidth="1"/>
    <col min="9995" max="9995" width="21.140625" style="1" bestFit="1" customWidth="1"/>
    <col min="9996" max="9996" width="15" style="1" customWidth="1"/>
    <col min="9997" max="9997" width="14.5703125" style="1" customWidth="1"/>
    <col min="9998" max="9999" width="14.28515625" style="1" customWidth="1"/>
    <col min="10000" max="10001" width="14.140625" style="1" customWidth="1"/>
    <col min="10002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22.85546875" style="1" bestFit="1" customWidth="1"/>
    <col min="10251" max="10251" width="21.140625" style="1" bestFit="1" customWidth="1"/>
    <col min="10252" max="10252" width="15" style="1" customWidth="1"/>
    <col min="10253" max="10253" width="14.5703125" style="1" customWidth="1"/>
    <col min="10254" max="10255" width="14.28515625" style="1" customWidth="1"/>
    <col min="10256" max="10257" width="14.140625" style="1" customWidth="1"/>
    <col min="10258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22.85546875" style="1" bestFit="1" customWidth="1"/>
    <col min="10507" max="10507" width="21.140625" style="1" bestFit="1" customWidth="1"/>
    <col min="10508" max="10508" width="15" style="1" customWidth="1"/>
    <col min="10509" max="10509" width="14.5703125" style="1" customWidth="1"/>
    <col min="10510" max="10511" width="14.28515625" style="1" customWidth="1"/>
    <col min="10512" max="10513" width="14.140625" style="1" customWidth="1"/>
    <col min="10514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22.85546875" style="1" bestFit="1" customWidth="1"/>
    <col min="10763" max="10763" width="21.140625" style="1" bestFit="1" customWidth="1"/>
    <col min="10764" max="10764" width="15" style="1" customWidth="1"/>
    <col min="10765" max="10765" width="14.5703125" style="1" customWidth="1"/>
    <col min="10766" max="10767" width="14.28515625" style="1" customWidth="1"/>
    <col min="10768" max="10769" width="14.140625" style="1" customWidth="1"/>
    <col min="10770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22.85546875" style="1" bestFit="1" customWidth="1"/>
    <col min="11019" max="11019" width="21.140625" style="1" bestFit="1" customWidth="1"/>
    <col min="11020" max="11020" width="15" style="1" customWidth="1"/>
    <col min="11021" max="11021" width="14.5703125" style="1" customWidth="1"/>
    <col min="11022" max="11023" width="14.28515625" style="1" customWidth="1"/>
    <col min="11024" max="11025" width="14.140625" style="1" customWidth="1"/>
    <col min="11026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22.85546875" style="1" bestFit="1" customWidth="1"/>
    <col min="11275" max="11275" width="21.140625" style="1" bestFit="1" customWidth="1"/>
    <col min="11276" max="11276" width="15" style="1" customWidth="1"/>
    <col min="11277" max="11277" width="14.5703125" style="1" customWidth="1"/>
    <col min="11278" max="11279" width="14.28515625" style="1" customWidth="1"/>
    <col min="11280" max="11281" width="14.140625" style="1" customWidth="1"/>
    <col min="11282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22.85546875" style="1" bestFit="1" customWidth="1"/>
    <col min="11531" max="11531" width="21.140625" style="1" bestFit="1" customWidth="1"/>
    <col min="11532" max="11532" width="15" style="1" customWidth="1"/>
    <col min="11533" max="11533" width="14.5703125" style="1" customWidth="1"/>
    <col min="11534" max="11535" width="14.28515625" style="1" customWidth="1"/>
    <col min="11536" max="11537" width="14.140625" style="1" customWidth="1"/>
    <col min="11538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22.85546875" style="1" bestFit="1" customWidth="1"/>
    <col min="11787" max="11787" width="21.140625" style="1" bestFit="1" customWidth="1"/>
    <col min="11788" max="11788" width="15" style="1" customWidth="1"/>
    <col min="11789" max="11789" width="14.5703125" style="1" customWidth="1"/>
    <col min="11790" max="11791" width="14.28515625" style="1" customWidth="1"/>
    <col min="11792" max="11793" width="14.140625" style="1" customWidth="1"/>
    <col min="11794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22.85546875" style="1" bestFit="1" customWidth="1"/>
    <col min="12043" max="12043" width="21.140625" style="1" bestFit="1" customWidth="1"/>
    <col min="12044" max="12044" width="15" style="1" customWidth="1"/>
    <col min="12045" max="12045" width="14.5703125" style="1" customWidth="1"/>
    <col min="12046" max="12047" width="14.28515625" style="1" customWidth="1"/>
    <col min="12048" max="12049" width="14.140625" style="1" customWidth="1"/>
    <col min="12050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22.85546875" style="1" bestFit="1" customWidth="1"/>
    <col min="12299" max="12299" width="21.140625" style="1" bestFit="1" customWidth="1"/>
    <col min="12300" max="12300" width="15" style="1" customWidth="1"/>
    <col min="12301" max="12301" width="14.5703125" style="1" customWidth="1"/>
    <col min="12302" max="12303" width="14.28515625" style="1" customWidth="1"/>
    <col min="12304" max="12305" width="14.140625" style="1" customWidth="1"/>
    <col min="12306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22.85546875" style="1" bestFit="1" customWidth="1"/>
    <col min="12555" max="12555" width="21.140625" style="1" bestFit="1" customWidth="1"/>
    <col min="12556" max="12556" width="15" style="1" customWidth="1"/>
    <col min="12557" max="12557" width="14.5703125" style="1" customWidth="1"/>
    <col min="12558" max="12559" width="14.28515625" style="1" customWidth="1"/>
    <col min="12560" max="12561" width="14.140625" style="1" customWidth="1"/>
    <col min="12562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22.85546875" style="1" bestFit="1" customWidth="1"/>
    <col min="12811" max="12811" width="21.140625" style="1" bestFit="1" customWidth="1"/>
    <col min="12812" max="12812" width="15" style="1" customWidth="1"/>
    <col min="12813" max="12813" width="14.5703125" style="1" customWidth="1"/>
    <col min="12814" max="12815" width="14.28515625" style="1" customWidth="1"/>
    <col min="12816" max="12817" width="14.140625" style="1" customWidth="1"/>
    <col min="12818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22.85546875" style="1" bestFit="1" customWidth="1"/>
    <col min="13067" max="13067" width="21.140625" style="1" bestFit="1" customWidth="1"/>
    <col min="13068" max="13068" width="15" style="1" customWidth="1"/>
    <col min="13069" max="13069" width="14.5703125" style="1" customWidth="1"/>
    <col min="13070" max="13071" width="14.28515625" style="1" customWidth="1"/>
    <col min="13072" max="13073" width="14.140625" style="1" customWidth="1"/>
    <col min="13074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22.85546875" style="1" bestFit="1" customWidth="1"/>
    <col min="13323" max="13323" width="21.140625" style="1" bestFit="1" customWidth="1"/>
    <col min="13324" max="13324" width="15" style="1" customWidth="1"/>
    <col min="13325" max="13325" width="14.5703125" style="1" customWidth="1"/>
    <col min="13326" max="13327" width="14.28515625" style="1" customWidth="1"/>
    <col min="13328" max="13329" width="14.140625" style="1" customWidth="1"/>
    <col min="13330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22.85546875" style="1" bestFit="1" customWidth="1"/>
    <col min="13579" max="13579" width="21.140625" style="1" bestFit="1" customWidth="1"/>
    <col min="13580" max="13580" width="15" style="1" customWidth="1"/>
    <col min="13581" max="13581" width="14.5703125" style="1" customWidth="1"/>
    <col min="13582" max="13583" width="14.28515625" style="1" customWidth="1"/>
    <col min="13584" max="13585" width="14.140625" style="1" customWidth="1"/>
    <col min="13586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22.85546875" style="1" bestFit="1" customWidth="1"/>
    <col min="13835" max="13835" width="21.140625" style="1" bestFit="1" customWidth="1"/>
    <col min="13836" max="13836" width="15" style="1" customWidth="1"/>
    <col min="13837" max="13837" width="14.5703125" style="1" customWidth="1"/>
    <col min="13838" max="13839" width="14.28515625" style="1" customWidth="1"/>
    <col min="13840" max="13841" width="14.140625" style="1" customWidth="1"/>
    <col min="13842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22.85546875" style="1" bestFit="1" customWidth="1"/>
    <col min="14091" max="14091" width="21.140625" style="1" bestFit="1" customWidth="1"/>
    <col min="14092" max="14092" width="15" style="1" customWidth="1"/>
    <col min="14093" max="14093" width="14.5703125" style="1" customWidth="1"/>
    <col min="14094" max="14095" width="14.28515625" style="1" customWidth="1"/>
    <col min="14096" max="14097" width="14.140625" style="1" customWidth="1"/>
    <col min="14098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22.85546875" style="1" bestFit="1" customWidth="1"/>
    <col min="14347" max="14347" width="21.140625" style="1" bestFit="1" customWidth="1"/>
    <col min="14348" max="14348" width="15" style="1" customWidth="1"/>
    <col min="14349" max="14349" width="14.5703125" style="1" customWidth="1"/>
    <col min="14350" max="14351" width="14.28515625" style="1" customWidth="1"/>
    <col min="14352" max="14353" width="14.140625" style="1" customWidth="1"/>
    <col min="14354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22.85546875" style="1" bestFit="1" customWidth="1"/>
    <col min="14603" max="14603" width="21.140625" style="1" bestFit="1" customWidth="1"/>
    <col min="14604" max="14604" width="15" style="1" customWidth="1"/>
    <col min="14605" max="14605" width="14.5703125" style="1" customWidth="1"/>
    <col min="14606" max="14607" width="14.28515625" style="1" customWidth="1"/>
    <col min="14608" max="14609" width="14.140625" style="1" customWidth="1"/>
    <col min="14610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22.85546875" style="1" bestFit="1" customWidth="1"/>
    <col min="14859" max="14859" width="21.140625" style="1" bestFit="1" customWidth="1"/>
    <col min="14860" max="14860" width="15" style="1" customWidth="1"/>
    <col min="14861" max="14861" width="14.5703125" style="1" customWidth="1"/>
    <col min="14862" max="14863" width="14.28515625" style="1" customWidth="1"/>
    <col min="14864" max="14865" width="14.140625" style="1" customWidth="1"/>
    <col min="14866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22.85546875" style="1" bestFit="1" customWidth="1"/>
    <col min="15115" max="15115" width="21.140625" style="1" bestFit="1" customWidth="1"/>
    <col min="15116" max="15116" width="15" style="1" customWidth="1"/>
    <col min="15117" max="15117" width="14.5703125" style="1" customWidth="1"/>
    <col min="15118" max="15119" width="14.28515625" style="1" customWidth="1"/>
    <col min="15120" max="15121" width="14.140625" style="1" customWidth="1"/>
    <col min="15122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22.85546875" style="1" bestFit="1" customWidth="1"/>
    <col min="15371" max="15371" width="21.140625" style="1" bestFit="1" customWidth="1"/>
    <col min="15372" max="15372" width="15" style="1" customWidth="1"/>
    <col min="15373" max="15373" width="14.5703125" style="1" customWidth="1"/>
    <col min="15374" max="15375" width="14.28515625" style="1" customWidth="1"/>
    <col min="15376" max="15377" width="14.140625" style="1" customWidth="1"/>
    <col min="15378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22.85546875" style="1" bestFit="1" customWidth="1"/>
    <col min="15627" max="15627" width="21.140625" style="1" bestFit="1" customWidth="1"/>
    <col min="15628" max="15628" width="15" style="1" customWidth="1"/>
    <col min="15629" max="15629" width="14.5703125" style="1" customWidth="1"/>
    <col min="15630" max="15631" width="14.28515625" style="1" customWidth="1"/>
    <col min="15632" max="15633" width="14.140625" style="1" customWidth="1"/>
    <col min="15634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22.85546875" style="1" bestFit="1" customWidth="1"/>
    <col min="15883" max="15883" width="21.140625" style="1" bestFit="1" customWidth="1"/>
    <col min="15884" max="15884" width="15" style="1" customWidth="1"/>
    <col min="15885" max="15885" width="14.5703125" style="1" customWidth="1"/>
    <col min="15886" max="15887" width="14.28515625" style="1" customWidth="1"/>
    <col min="15888" max="15889" width="14.140625" style="1" customWidth="1"/>
    <col min="15890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22.85546875" style="1" bestFit="1" customWidth="1"/>
    <col min="16139" max="16139" width="21.140625" style="1" bestFit="1" customWidth="1"/>
    <col min="16140" max="16140" width="15" style="1" customWidth="1"/>
    <col min="16141" max="16141" width="14.5703125" style="1" customWidth="1"/>
    <col min="16142" max="16143" width="14.28515625" style="1" customWidth="1"/>
    <col min="16144" max="16145" width="14.140625" style="1" customWidth="1"/>
    <col min="16146" max="16384" width="21.5703125" style="1"/>
  </cols>
  <sheetData>
    <row r="1" spans="2:17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2"/>
      <c r="P1" s="2"/>
      <c r="Q1" s="72"/>
    </row>
    <row r="2" spans="2:17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2"/>
      <c r="P2" s="2"/>
    </row>
    <row r="3" spans="2:17" ht="15.75" x14ac:dyDescent="0.25">
      <c r="E3" s="77">
        <v>2021</v>
      </c>
      <c r="F3" s="3"/>
      <c r="G3" s="3"/>
      <c r="H3" s="7"/>
      <c r="I3" s="3"/>
      <c r="J3" s="7"/>
      <c r="K3" s="7"/>
      <c r="L3" s="7"/>
      <c r="M3" s="7"/>
      <c r="N3" s="7"/>
      <c r="O3" s="7"/>
      <c r="P3" s="7"/>
    </row>
    <row r="4" spans="2:17" ht="16.5" thickBot="1" x14ac:dyDescent="0.3">
      <c r="F4" s="5"/>
      <c r="G4" s="9"/>
      <c r="H4" s="9"/>
      <c r="I4" s="9"/>
      <c r="J4" s="9"/>
      <c r="K4" s="9"/>
      <c r="L4" s="9"/>
      <c r="M4" s="9"/>
      <c r="N4" s="9"/>
      <c r="Q4" s="76" t="s">
        <v>54</v>
      </c>
    </row>
    <row r="5" spans="2:17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61</v>
      </c>
      <c r="K5" s="12" t="s">
        <v>60</v>
      </c>
      <c r="L5" s="12" t="s">
        <v>8</v>
      </c>
      <c r="M5" s="12" t="s">
        <v>9</v>
      </c>
      <c r="N5" s="12" t="s">
        <v>10</v>
      </c>
      <c r="O5" s="12" t="s">
        <v>11</v>
      </c>
      <c r="P5" s="13" t="s">
        <v>59</v>
      </c>
      <c r="Q5" s="63" t="s">
        <v>56</v>
      </c>
    </row>
    <row r="6" spans="2:17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8"/>
      <c r="Q6" s="64"/>
    </row>
    <row r="7" spans="2:17" ht="15.75" x14ac:dyDescent="0.25">
      <c r="E7" s="20" t="s">
        <v>13</v>
      </c>
      <c r="F7" s="16">
        <f>G7+H7+I7+J7+K7+L7+M7+N7+O7+P7+Q7</f>
        <v>158105499.03</v>
      </c>
      <c r="G7" s="16">
        <v>868599</v>
      </c>
      <c r="H7" s="16">
        <v>23667360</v>
      </c>
      <c r="I7" s="16">
        <v>1576.35</v>
      </c>
      <c r="J7" s="16">
        <v>45878655</v>
      </c>
      <c r="K7" s="16">
        <v>13643867</v>
      </c>
      <c r="L7" s="16">
        <v>397270</v>
      </c>
      <c r="M7" s="16">
        <v>7398604</v>
      </c>
      <c r="N7" s="16">
        <v>56133514</v>
      </c>
      <c r="O7" s="16">
        <v>10081205</v>
      </c>
      <c r="P7" s="16">
        <v>0</v>
      </c>
      <c r="Q7" s="66">
        <v>34848.68</v>
      </c>
    </row>
    <row r="8" spans="2:17" ht="15.75" x14ac:dyDescent="0.25"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66"/>
    </row>
    <row r="9" spans="2:17" ht="15.75" x14ac:dyDescent="0.25">
      <c r="E9" s="20" t="s">
        <v>14</v>
      </c>
      <c r="F9" s="16">
        <f>G9+H9+I9+J9+K9+L9+M9+N9+O9+P9+Q9</f>
        <v>7798072</v>
      </c>
      <c r="G9" s="16">
        <v>40</v>
      </c>
      <c r="H9" s="16">
        <v>1107970</v>
      </c>
      <c r="I9" s="16">
        <v>0</v>
      </c>
      <c r="J9" s="16">
        <v>1454376</v>
      </c>
      <c r="K9" s="16">
        <v>559393</v>
      </c>
      <c r="L9" s="16">
        <v>4668329</v>
      </c>
      <c r="M9" s="16">
        <v>0</v>
      </c>
      <c r="N9" s="16">
        <v>0</v>
      </c>
      <c r="O9" s="16">
        <v>0</v>
      </c>
      <c r="P9" s="16">
        <v>0</v>
      </c>
      <c r="Q9" s="66">
        <v>7964</v>
      </c>
    </row>
    <row r="10" spans="2:17" ht="15.75" x14ac:dyDescent="0.25"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66"/>
    </row>
    <row r="11" spans="2:17" ht="15.75" x14ac:dyDescent="0.25">
      <c r="B11" s="21"/>
      <c r="C11" s="21"/>
      <c r="D11" s="21"/>
      <c r="E11" s="20" t="s">
        <v>15</v>
      </c>
      <c r="F11" s="16">
        <f>G11+H11+I11+J11+K11+L11+M11+N11+O11+P11+Q11</f>
        <v>71787007</v>
      </c>
      <c r="G11" s="16">
        <v>312830</v>
      </c>
      <c r="H11" s="16">
        <v>10077951</v>
      </c>
      <c r="I11" s="16">
        <v>0</v>
      </c>
      <c r="J11" s="16">
        <v>19611909</v>
      </c>
      <c r="K11" s="16">
        <v>5780443</v>
      </c>
      <c r="L11" s="16">
        <v>508289</v>
      </c>
      <c r="M11" s="16">
        <v>4258200</v>
      </c>
      <c r="N11" s="16">
        <v>26689651</v>
      </c>
      <c r="O11" s="16">
        <v>4547734</v>
      </c>
      <c r="P11" s="16">
        <v>0</v>
      </c>
      <c r="Q11" s="66">
        <v>0</v>
      </c>
    </row>
    <row r="12" spans="2:17" ht="15.75" x14ac:dyDescent="0.25"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6"/>
    </row>
    <row r="13" spans="2:17" ht="15.75" x14ac:dyDescent="0.25">
      <c r="E13" s="20" t="s">
        <v>17</v>
      </c>
      <c r="F13" s="16">
        <f>G13+H13+I13+J13+K13+L13+M13+N13+O13+P13+Q13</f>
        <v>3914061</v>
      </c>
      <c r="G13" s="16">
        <v>0</v>
      </c>
      <c r="H13" s="16">
        <v>615421</v>
      </c>
      <c r="I13" s="16">
        <v>0</v>
      </c>
      <c r="J13" s="16">
        <v>1194812</v>
      </c>
      <c r="K13" s="16">
        <v>744471</v>
      </c>
      <c r="L13" s="16">
        <v>1359357</v>
      </c>
      <c r="M13" s="16">
        <v>0</v>
      </c>
      <c r="N13" s="16">
        <v>0</v>
      </c>
      <c r="O13" s="16">
        <v>0</v>
      </c>
      <c r="P13" s="16">
        <v>0</v>
      </c>
      <c r="Q13" s="66">
        <v>0</v>
      </c>
    </row>
    <row r="14" spans="2:17" ht="15.75" x14ac:dyDescent="0.25"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66"/>
    </row>
    <row r="15" spans="2:17" ht="15.75" x14ac:dyDescent="0.25">
      <c r="E15" s="20" t="s">
        <v>18</v>
      </c>
      <c r="F15" s="16">
        <f>G15+H15+I15+J15+K15+L15+M15+N15+O15+P15+Q15</f>
        <v>13034632</v>
      </c>
      <c r="G15" s="16">
        <v>0</v>
      </c>
      <c r="H15" s="16">
        <v>1154109</v>
      </c>
      <c r="I15" s="16">
        <v>0</v>
      </c>
      <c r="J15" s="16">
        <v>3278500</v>
      </c>
      <c r="K15" s="16">
        <v>1815440</v>
      </c>
      <c r="L15" s="16">
        <v>6500528</v>
      </c>
      <c r="M15" s="16">
        <v>286055</v>
      </c>
      <c r="N15" s="16">
        <v>0</v>
      </c>
      <c r="O15" s="16">
        <v>0</v>
      </c>
      <c r="P15" s="16">
        <v>0</v>
      </c>
      <c r="Q15" s="66">
        <v>0</v>
      </c>
    </row>
    <row r="16" spans="2:17" ht="15.75" x14ac:dyDescent="0.25"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66"/>
    </row>
    <row r="17" spans="5:17" ht="15.75" x14ac:dyDescent="0.25">
      <c r="E17" s="20" t="s">
        <v>19</v>
      </c>
      <c r="F17" s="16">
        <f>G17+H17+I17+J17+K17+L17+M17+N17+O17+P17+Q17</f>
        <v>24711175</v>
      </c>
      <c r="G17" s="16">
        <v>0</v>
      </c>
      <c r="H17" s="16">
        <v>2796354</v>
      </c>
      <c r="I17" s="16">
        <v>0</v>
      </c>
      <c r="J17" s="16">
        <v>7628261</v>
      </c>
      <c r="K17" s="16">
        <v>1709858</v>
      </c>
      <c r="L17" s="16">
        <v>239342</v>
      </c>
      <c r="M17" s="16">
        <v>490138</v>
      </c>
      <c r="N17" s="16">
        <v>9367489</v>
      </c>
      <c r="O17" s="16">
        <v>2412198</v>
      </c>
      <c r="P17" s="16">
        <v>0</v>
      </c>
      <c r="Q17" s="66">
        <v>67535</v>
      </c>
    </row>
    <row r="18" spans="5:17" ht="15.75" x14ac:dyDescent="0.25"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66"/>
    </row>
    <row r="19" spans="5:17" ht="15.75" x14ac:dyDescent="0.25">
      <c r="E19" s="20" t="s">
        <v>20</v>
      </c>
      <c r="F19" s="16">
        <f>G19+H19+I19+J19+K19+L19+M19+N19+O19+P19+Q19</f>
        <v>20770774</v>
      </c>
      <c r="G19" s="16">
        <v>0</v>
      </c>
      <c r="H19" s="16">
        <v>2808368</v>
      </c>
      <c r="I19" s="16">
        <v>0</v>
      </c>
      <c r="J19" s="16">
        <v>5359154</v>
      </c>
      <c r="K19" s="16">
        <v>3172335</v>
      </c>
      <c r="L19" s="16">
        <v>274809</v>
      </c>
      <c r="M19" s="16">
        <v>105334</v>
      </c>
      <c r="N19" s="16">
        <v>9050774</v>
      </c>
      <c r="O19" s="16">
        <v>0</v>
      </c>
      <c r="P19" s="16">
        <v>0</v>
      </c>
      <c r="Q19" s="66">
        <v>0</v>
      </c>
    </row>
    <row r="20" spans="5:17" ht="15.75" x14ac:dyDescent="0.25"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66"/>
    </row>
    <row r="21" spans="5:17" ht="15.75" x14ac:dyDescent="0.25">
      <c r="E21" s="20" t="s">
        <v>21</v>
      </c>
      <c r="F21" s="16">
        <f>G21+H21+I21+J21+K21+L21+M21+N21+O21+P21+Q21</f>
        <v>4289762</v>
      </c>
      <c r="G21" s="16">
        <v>0</v>
      </c>
      <c r="H21" s="16">
        <v>683241</v>
      </c>
      <c r="I21" s="16">
        <v>0</v>
      </c>
      <c r="J21" s="16">
        <v>1832542</v>
      </c>
      <c r="K21" s="16">
        <v>347161</v>
      </c>
      <c r="L21" s="16">
        <v>1426818</v>
      </c>
      <c r="M21" s="16">
        <v>0</v>
      </c>
      <c r="N21" s="16">
        <v>0</v>
      </c>
      <c r="O21" s="16">
        <v>0</v>
      </c>
      <c r="P21" s="16">
        <v>0</v>
      </c>
      <c r="Q21" s="66">
        <v>0</v>
      </c>
    </row>
    <row r="22" spans="5:17" ht="15.75" x14ac:dyDescent="0.25"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66"/>
    </row>
    <row r="23" spans="5:17" ht="15.75" x14ac:dyDescent="0.25">
      <c r="E23" s="20" t="s">
        <v>22</v>
      </c>
      <c r="F23" s="16">
        <f>G23+H23+I23+J23+K23+L23+M23+N23+O23+P23+Q23</f>
        <v>669916</v>
      </c>
      <c r="G23" s="16">
        <v>0</v>
      </c>
      <c r="H23" s="16">
        <v>33772</v>
      </c>
      <c r="I23" s="16">
        <v>0</v>
      </c>
      <c r="J23" s="16">
        <v>104518</v>
      </c>
      <c r="K23" s="16">
        <v>27877</v>
      </c>
      <c r="L23" s="16">
        <v>503749</v>
      </c>
      <c r="M23" s="16">
        <v>0</v>
      </c>
      <c r="N23" s="16">
        <v>0</v>
      </c>
      <c r="O23" s="16">
        <v>0</v>
      </c>
      <c r="P23" s="16">
        <v>0</v>
      </c>
      <c r="Q23" s="66">
        <v>0</v>
      </c>
    </row>
    <row r="24" spans="5:17" ht="15.75" x14ac:dyDescent="0.25">
      <c r="E24" s="2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66"/>
    </row>
    <row r="25" spans="5:17" ht="15.75" x14ac:dyDescent="0.25">
      <c r="E25" s="65" t="s">
        <v>3</v>
      </c>
      <c r="F25" s="16">
        <f>G25+H25+I25+J25+K25+L25+M25+N25+O25+P25+Q25</f>
        <v>305080898.03000003</v>
      </c>
      <c r="G25" s="16">
        <f t="shared" ref="G25:Q25" si="0">G7+G9+G11+G13+G15+G17+G19+G21+G23</f>
        <v>1181469</v>
      </c>
      <c r="H25" s="16">
        <f t="shared" si="0"/>
        <v>42944546</v>
      </c>
      <c r="I25" s="16">
        <f t="shared" si="0"/>
        <v>1576.35</v>
      </c>
      <c r="J25" s="16">
        <f t="shared" si="0"/>
        <v>86342727</v>
      </c>
      <c r="K25" s="16">
        <f>K7+K9+K11+K13+K15+K17+K19+K21+K23</f>
        <v>27800845</v>
      </c>
      <c r="L25" s="16">
        <f t="shared" si="0"/>
        <v>15878491</v>
      </c>
      <c r="M25" s="16">
        <f t="shared" si="0"/>
        <v>12538331</v>
      </c>
      <c r="N25" s="16">
        <f t="shared" si="0"/>
        <v>101241428</v>
      </c>
      <c r="O25" s="16">
        <f t="shared" si="0"/>
        <v>17041137</v>
      </c>
      <c r="P25" s="16">
        <f>P7+P9+P11+P13+P15+P17+P19+P21+P23</f>
        <v>0</v>
      </c>
      <c r="Q25" s="66">
        <f t="shared" si="0"/>
        <v>110347.68</v>
      </c>
    </row>
    <row r="26" spans="5:17" ht="16.5" thickBot="1" x14ac:dyDescent="0.3"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67"/>
    </row>
    <row r="27" spans="5:17" ht="16.5" thickTop="1" x14ac:dyDescent="0.25"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7"/>
    </row>
    <row r="28" spans="5:17" ht="15.75" x14ac:dyDescent="0.25">
      <c r="E28" s="33" t="s">
        <v>23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</row>
    <row r="29" spans="5:17" ht="15.75" x14ac:dyDescent="0.25"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7" ht="15.75" x14ac:dyDescent="0.25">
      <c r="F30" s="34"/>
      <c r="G30" s="35"/>
      <c r="H30" s="35"/>
      <c r="I30" s="35"/>
      <c r="J30" s="35"/>
      <c r="K30" s="35"/>
      <c r="L30" s="35"/>
      <c r="M30" s="35"/>
      <c r="N30" s="35"/>
      <c r="O30" s="35"/>
    </row>
    <row r="31" spans="5:17" ht="15.75" x14ac:dyDescent="0.25">
      <c r="E31" s="2" t="s">
        <v>0</v>
      </c>
      <c r="F31" s="3"/>
      <c r="G31" s="3"/>
      <c r="H31" s="7"/>
      <c r="I31" s="3"/>
      <c r="J31" s="7"/>
      <c r="K31" s="7"/>
      <c r="L31" s="7"/>
      <c r="M31" s="7"/>
      <c r="N31" s="7"/>
      <c r="O31" s="7"/>
      <c r="P31" s="7"/>
    </row>
    <row r="32" spans="5:17" ht="15.75" x14ac:dyDescent="0.25">
      <c r="F32" s="36"/>
      <c r="G32" s="37"/>
      <c r="H32" s="38"/>
      <c r="I32" s="38"/>
      <c r="J32" s="39" t="s">
        <v>1</v>
      </c>
      <c r="K32" s="39"/>
      <c r="L32" s="38"/>
      <c r="M32" s="38"/>
      <c r="N32" s="38"/>
      <c r="O32" s="38"/>
      <c r="P32" s="38"/>
    </row>
    <row r="33" spans="5:17" ht="15.75" x14ac:dyDescent="0.25">
      <c r="E33" s="77">
        <v>2021</v>
      </c>
      <c r="F33" s="3"/>
      <c r="G33" s="3"/>
      <c r="H33" s="7"/>
      <c r="I33" s="3"/>
      <c r="J33" s="7"/>
      <c r="K33" s="7"/>
      <c r="L33" s="7"/>
      <c r="M33" s="7"/>
      <c r="N33" s="7"/>
      <c r="O33" s="7"/>
      <c r="P33" s="7"/>
    </row>
    <row r="34" spans="5:17" ht="16.5" thickBot="1" x14ac:dyDescent="0.3">
      <c r="F34" s="36"/>
      <c r="G34" s="38"/>
      <c r="H34" s="38"/>
      <c r="I34" s="38"/>
      <c r="J34" s="38"/>
      <c r="K34" s="38"/>
      <c r="L34" s="38"/>
      <c r="M34" s="38"/>
      <c r="N34" s="38"/>
      <c r="Q34" s="76" t="s">
        <v>54</v>
      </c>
    </row>
    <row r="35" spans="5:17" ht="15.95" customHeight="1" thickTop="1" x14ac:dyDescent="0.25">
      <c r="E35" s="41" t="s">
        <v>24</v>
      </c>
      <c r="F35" s="42" t="s">
        <v>3</v>
      </c>
      <c r="G35" s="62" t="s">
        <v>43</v>
      </c>
      <c r="H35" s="62" t="s">
        <v>40</v>
      </c>
      <c r="I35" s="43" t="s">
        <v>6</v>
      </c>
      <c r="J35" s="43" t="s">
        <v>61</v>
      </c>
      <c r="K35" s="12" t="s">
        <v>60</v>
      </c>
      <c r="L35" s="43" t="s">
        <v>8</v>
      </c>
      <c r="M35" s="43" t="s">
        <v>25</v>
      </c>
      <c r="N35" s="44" t="s">
        <v>10</v>
      </c>
      <c r="O35" s="12" t="s">
        <v>11</v>
      </c>
      <c r="P35" s="13" t="s">
        <v>59</v>
      </c>
      <c r="Q35" s="63" t="s">
        <v>56</v>
      </c>
    </row>
    <row r="36" spans="5:17" ht="15.95" customHeight="1" x14ac:dyDescent="0.25">
      <c r="E36" s="45"/>
      <c r="F36" s="46"/>
      <c r="G36" s="46"/>
      <c r="H36" s="46"/>
      <c r="I36" s="46"/>
      <c r="J36" s="46"/>
      <c r="K36" s="46"/>
      <c r="L36" s="46"/>
      <c r="M36" s="46"/>
      <c r="N36" s="78"/>
      <c r="O36" s="46"/>
      <c r="P36" s="78"/>
      <c r="Q36" s="79"/>
    </row>
    <row r="37" spans="5:17" ht="15.95" customHeight="1" x14ac:dyDescent="0.25">
      <c r="E37" s="45" t="s">
        <v>26</v>
      </c>
      <c r="F37" s="49">
        <f>SUM(G37:Q37)</f>
        <v>20771786</v>
      </c>
      <c r="G37" s="49">
        <v>119242</v>
      </c>
      <c r="H37" s="49">
        <v>2412558</v>
      </c>
      <c r="I37" s="49">
        <v>0</v>
      </c>
      <c r="J37" s="49">
        <v>5940935</v>
      </c>
      <c r="K37" s="49">
        <v>1543712</v>
      </c>
      <c r="L37" s="49">
        <v>1046463</v>
      </c>
      <c r="M37" s="80">
        <v>983297</v>
      </c>
      <c r="N37" s="80">
        <v>6889853</v>
      </c>
      <c r="O37" s="49">
        <v>1835726</v>
      </c>
      <c r="P37" s="83">
        <v>0</v>
      </c>
      <c r="Q37" s="81">
        <v>0</v>
      </c>
    </row>
    <row r="38" spans="5:17" ht="15.95" customHeight="1" x14ac:dyDescent="0.25">
      <c r="E38" s="45" t="s">
        <v>27</v>
      </c>
      <c r="F38" s="49">
        <f>SUM(G38:Q38)</f>
        <v>21528475</v>
      </c>
      <c r="G38" s="49">
        <v>102153</v>
      </c>
      <c r="H38" s="49">
        <v>2928865</v>
      </c>
      <c r="I38" s="49">
        <v>0</v>
      </c>
      <c r="J38" s="49">
        <v>6129931</v>
      </c>
      <c r="K38" s="49">
        <v>1712348</v>
      </c>
      <c r="L38" s="49">
        <v>1002792</v>
      </c>
      <c r="M38" s="80">
        <v>884616</v>
      </c>
      <c r="N38" s="80">
        <v>7038379</v>
      </c>
      <c r="O38" s="49">
        <v>1729391</v>
      </c>
      <c r="P38" s="83">
        <v>0</v>
      </c>
      <c r="Q38" s="81">
        <v>0</v>
      </c>
    </row>
    <row r="39" spans="5:17" ht="15.95" customHeight="1" x14ac:dyDescent="0.25">
      <c r="E39" s="45" t="s">
        <v>28</v>
      </c>
      <c r="F39" s="49">
        <f>SUM(G39:Q39)</f>
        <v>24370142.68</v>
      </c>
      <c r="G39" s="49">
        <v>113618</v>
      </c>
      <c r="H39" s="49">
        <v>3507359</v>
      </c>
      <c r="I39" s="49">
        <v>0</v>
      </c>
      <c r="J39" s="49">
        <v>7608453</v>
      </c>
      <c r="K39" s="49">
        <v>2369237</v>
      </c>
      <c r="L39" s="49">
        <v>1261605</v>
      </c>
      <c r="M39" s="80">
        <v>1176746</v>
      </c>
      <c r="N39" s="80">
        <v>6637900</v>
      </c>
      <c r="O39" s="49">
        <v>1694587</v>
      </c>
      <c r="P39" s="83">
        <v>0</v>
      </c>
      <c r="Q39" s="81">
        <v>637.67999999999995</v>
      </c>
    </row>
    <row r="40" spans="5:17" ht="15.95" customHeight="1" x14ac:dyDescent="0.25">
      <c r="E40" s="45"/>
      <c r="F40" s="49">
        <f t="shared" ref="F40:L40" si="1">F37+F38+F39</f>
        <v>66670403.68</v>
      </c>
      <c r="G40" s="49">
        <f t="shared" si="1"/>
        <v>335013</v>
      </c>
      <c r="H40" s="49">
        <f t="shared" si="1"/>
        <v>8848782</v>
      </c>
      <c r="I40" s="49">
        <f t="shared" si="1"/>
        <v>0</v>
      </c>
      <c r="J40" s="49">
        <f t="shared" si="1"/>
        <v>19679319</v>
      </c>
      <c r="K40" s="49">
        <f t="shared" si="1"/>
        <v>5625297</v>
      </c>
      <c r="L40" s="49">
        <f t="shared" si="1"/>
        <v>3310860</v>
      </c>
      <c r="M40" s="80">
        <f>SUM(M37:M39)</f>
        <v>3044659</v>
      </c>
      <c r="N40" s="80">
        <f>SUM(N37:N39)</f>
        <v>20566132</v>
      </c>
      <c r="O40" s="49">
        <f>O37+O38+O39</f>
        <v>5259704</v>
      </c>
      <c r="P40" s="49">
        <f>P37+P38+P39</f>
        <v>0</v>
      </c>
      <c r="Q40" s="81">
        <f>Q37+Q38+Q39</f>
        <v>637.67999999999995</v>
      </c>
    </row>
    <row r="41" spans="5:17" ht="15.95" customHeight="1" x14ac:dyDescent="0.25">
      <c r="E41" s="45" t="s">
        <v>29</v>
      </c>
      <c r="F41" s="49">
        <f>SUM(G41:Q41)</f>
        <v>24438837.289999999</v>
      </c>
      <c r="G41" s="49">
        <v>68835</v>
      </c>
      <c r="H41" s="49">
        <v>2965643</v>
      </c>
      <c r="I41" s="49">
        <v>1203.29</v>
      </c>
      <c r="J41" s="49">
        <v>6332247</v>
      </c>
      <c r="K41" s="49">
        <v>2202446</v>
      </c>
      <c r="L41" s="49">
        <v>992054</v>
      </c>
      <c r="M41" s="80">
        <v>1212789</v>
      </c>
      <c r="N41" s="80">
        <v>8913716</v>
      </c>
      <c r="O41" s="49">
        <v>1736905</v>
      </c>
      <c r="P41" s="83">
        <v>0</v>
      </c>
      <c r="Q41" s="81">
        <v>12999</v>
      </c>
    </row>
    <row r="42" spans="5:17" ht="15.95" customHeight="1" x14ac:dyDescent="0.25">
      <c r="E42" s="45" t="s">
        <v>30</v>
      </c>
      <c r="F42" s="49">
        <f>SUM(G42:Q42)</f>
        <v>22664244</v>
      </c>
      <c r="G42" s="49">
        <v>82584</v>
      </c>
      <c r="H42" s="49">
        <v>3356743</v>
      </c>
      <c r="I42" s="49">
        <v>0</v>
      </c>
      <c r="J42" s="49">
        <v>7088924</v>
      </c>
      <c r="K42" s="49">
        <v>3099695</v>
      </c>
      <c r="L42" s="49">
        <v>1287230</v>
      </c>
      <c r="M42" s="80">
        <v>1071630</v>
      </c>
      <c r="N42" s="80">
        <v>4876786</v>
      </c>
      <c r="O42" s="49">
        <v>1773484</v>
      </c>
      <c r="P42" s="83">
        <v>0</v>
      </c>
      <c r="Q42" s="81">
        <v>27168</v>
      </c>
    </row>
    <row r="43" spans="5:17" ht="15.95" customHeight="1" x14ac:dyDescent="0.25">
      <c r="E43" s="45" t="s">
        <v>31</v>
      </c>
      <c r="F43" s="49">
        <f>SUM(G43:Q43)</f>
        <v>27739412.379999999</v>
      </c>
      <c r="G43" s="49">
        <v>85970</v>
      </c>
      <c r="H43" s="49">
        <v>3699932</v>
      </c>
      <c r="I43" s="49">
        <v>247.38</v>
      </c>
      <c r="J43" s="49">
        <v>7712355</v>
      </c>
      <c r="K43" s="49">
        <v>2651078</v>
      </c>
      <c r="L43" s="49">
        <v>1488976</v>
      </c>
      <c r="M43" s="80">
        <v>1100730</v>
      </c>
      <c r="N43" s="80">
        <v>9247210</v>
      </c>
      <c r="O43" s="49">
        <v>1733218</v>
      </c>
      <c r="P43" s="83">
        <v>0</v>
      </c>
      <c r="Q43" s="81">
        <v>19696</v>
      </c>
    </row>
    <row r="44" spans="5:17" ht="15.95" customHeight="1" x14ac:dyDescent="0.25">
      <c r="E44" s="45"/>
      <c r="F44" s="49">
        <f t="shared" ref="F44:L44" si="2">F41+F42+F43</f>
        <v>74842493.670000002</v>
      </c>
      <c r="G44" s="49">
        <f t="shared" si="2"/>
        <v>237389</v>
      </c>
      <c r="H44" s="49">
        <f t="shared" si="2"/>
        <v>10022318</v>
      </c>
      <c r="I44" s="49">
        <f t="shared" si="2"/>
        <v>1450.67</v>
      </c>
      <c r="J44" s="49">
        <f t="shared" si="2"/>
        <v>21133526</v>
      </c>
      <c r="K44" s="49">
        <f>K41+K42+K43</f>
        <v>7953219</v>
      </c>
      <c r="L44" s="49">
        <f t="shared" si="2"/>
        <v>3768260</v>
      </c>
      <c r="M44" s="80">
        <f>SUM(M41:M43)</f>
        <v>3385149</v>
      </c>
      <c r="N44" s="80">
        <f>SUM(N41:N43)</f>
        <v>23037712</v>
      </c>
      <c r="O44" s="49">
        <f>O41+O42+O43</f>
        <v>5243607</v>
      </c>
      <c r="P44" s="49">
        <f>P41+P42+P43</f>
        <v>0</v>
      </c>
      <c r="Q44" s="81">
        <f>Q41+Q42+Q43</f>
        <v>59863</v>
      </c>
    </row>
    <row r="45" spans="5:17" ht="15.95" customHeight="1" x14ac:dyDescent="0.25">
      <c r="E45" s="45" t="s">
        <v>32</v>
      </c>
      <c r="F45" s="49">
        <f>SUM(G45:Q45)</f>
        <v>26699787</v>
      </c>
      <c r="G45" s="49">
        <v>137787</v>
      </c>
      <c r="H45" s="49">
        <v>4637457</v>
      </c>
      <c r="I45" s="49">
        <v>0</v>
      </c>
      <c r="J45" s="49">
        <v>8177008</v>
      </c>
      <c r="K45" s="49">
        <v>2527042</v>
      </c>
      <c r="L45" s="49">
        <v>1437401</v>
      </c>
      <c r="M45" s="80">
        <v>1008633</v>
      </c>
      <c r="N45" s="80">
        <v>7149965</v>
      </c>
      <c r="O45" s="49">
        <v>1624494</v>
      </c>
      <c r="P45" s="83">
        <v>0</v>
      </c>
      <c r="Q45" s="81">
        <v>0</v>
      </c>
    </row>
    <row r="46" spans="5:17" ht="15.95" customHeight="1" x14ac:dyDescent="0.25">
      <c r="E46" s="45" t="s">
        <v>41</v>
      </c>
      <c r="F46" s="49">
        <f>SUM(G46:Q46)</f>
        <v>27596508.079999998</v>
      </c>
      <c r="G46" s="49">
        <v>119974</v>
      </c>
      <c r="H46" s="49">
        <v>4560536</v>
      </c>
      <c r="I46" s="49">
        <v>60.08</v>
      </c>
      <c r="J46" s="49">
        <v>7985758</v>
      </c>
      <c r="K46" s="49">
        <v>2545775</v>
      </c>
      <c r="L46" s="49">
        <v>1613521</v>
      </c>
      <c r="M46" s="80">
        <v>1030660</v>
      </c>
      <c r="N46" s="80">
        <v>9737721</v>
      </c>
      <c r="O46" s="49">
        <v>0</v>
      </c>
      <c r="P46" s="83">
        <v>0</v>
      </c>
      <c r="Q46" s="81">
        <v>2503</v>
      </c>
    </row>
    <row r="47" spans="5:17" ht="15.95" customHeight="1" x14ac:dyDescent="0.25">
      <c r="E47" s="45" t="s">
        <v>34</v>
      </c>
      <c r="F47" s="49">
        <f>SUM(G47:Q47)</f>
        <v>28484424</v>
      </c>
      <c r="G47" s="49">
        <v>93530</v>
      </c>
      <c r="H47" s="49">
        <v>4259778</v>
      </c>
      <c r="I47" s="49">
        <v>0</v>
      </c>
      <c r="J47" s="49">
        <v>7963158</v>
      </c>
      <c r="K47" s="49">
        <v>2886099</v>
      </c>
      <c r="L47" s="49">
        <v>1560762</v>
      </c>
      <c r="M47" s="80">
        <v>1067127</v>
      </c>
      <c r="N47" s="80">
        <v>10650807</v>
      </c>
      <c r="O47" s="49">
        <v>0</v>
      </c>
      <c r="P47" s="83">
        <v>0</v>
      </c>
      <c r="Q47" s="81">
        <v>3163</v>
      </c>
    </row>
    <row r="48" spans="5:17" ht="15.95" customHeight="1" x14ac:dyDescent="0.25">
      <c r="E48" s="45"/>
      <c r="F48" s="49">
        <f t="shared" ref="F48:P48" si="3">F45+F46+F47</f>
        <v>82780719.079999998</v>
      </c>
      <c r="G48" s="49">
        <f t="shared" si="3"/>
        <v>351291</v>
      </c>
      <c r="H48" s="49">
        <f t="shared" si="3"/>
        <v>13457771</v>
      </c>
      <c r="I48" s="49">
        <f t="shared" si="3"/>
        <v>60.08</v>
      </c>
      <c r="J48" s="49">
        <f t="shared" si="3"/>
        <v>24125924</v>
      </c>
      <c r="K48" s="49">
        <f>K45+K46+K47</f>
        <v>7958916</v>
      </c>
      <c r="L48" s="49">
        <f t="shared" si="3"/>
        <v>4611684</v>
      </c>
      <c r="M48" s="80">
        <f>SUM(M45:M47)</f>
        <v>3106420</v>
      </c>
      <c r="N48" s="80">
        <f>SUM(N45:N47)</f>
        <v>27538493</v>
      </c>
      <c r="O48" s="49">
        <f t="shared" si="3"/>
        <v>1624494</v>
      </c>
      <c r="P48" s="49">
        <f t="shared" si="3"/>
        <v>0</v>
      </c>
      <c r="Q48" s="81">
        <f>Q45+Q46+Q47</f>
        <v>5666</v>
      </c>
    </row>
    <row r="49" spans="5:17" ht="15.95" customHeight="1" x14ac:dyDescent="0.25">
      <c r="E49" s="45" t="s">
        <v>35</v>
      </c>
      <c r="F49" s="49">
        <f>SUM(G49:Q49)</f>
        <v>28652220</v>
      </c>
      <c r="G49" s="49">
        <v>86372</v>
      </c>
      <c r="H49" s="49">
        <v>3812119</v>
      </c>
      <c r="I49" s="49">
        <v>0</v>
      </c>
      <c r="J49" s="49">
        <v>7673772</v>
      </c>
      <c r="K49" s="49">
        <v>2630138</v>
      </c>
      <c r="L49" s="49">
        <v>1465405</v>
      </c>
      <c r="M49" s="80">
        <v>1035008</v>
      </c>
      <c r="N49" s="80">
        <v>10208182</v>
      </c>
      <c r="O49" s="49">
        <v>1711210</v>
      </c>
      <c r="P49" s="83">
        <v>0</v>
      </c>
      <c r="Q49" s="81">
        <v>30014</v>
      </c>
    </row>
    <row r="50" spans="5:17" ht="15.95" customHeight="1" x14ac:dyDescent="0.25">
      <c r="E50" s="45" t="s">
        <v>36</v>
      </c>
      <c r="F50" s="49">
        <f>SUM(G50:Q50)</f>
        <v>26648806</v>
      </c>
      <c r="G50" s="49">
        <v>115283</v>
      </c>
      <c r="H50" s="49">
        <v>3539731</v>
      </c>
      <c r="I50" s="49">
        <v>0</v>
      </c>
      <c r="J50" s="49">
        <v>7266357</v>
      </c>
      <c r="K50" s="49">
        <v>1711158</v>
      </c>
      <c r="L50" s="49">
        <v>1294303</v>
      </c>
      <c r="M50" s="80">
        <v>965272</v>
      </c>
      <c r="N50" s="80">
        <v>10101499</v>
      </c>
      <c r="O50" s="49">
        <v>1648377</v>
      </c>
      <c r="P50" s="83">
        <v>0</v>
      </c>
      <c r="Q50" s="81">
        <v>6826</v>
      </c>
    </row>
    <row r="51" spans="5:17" ht="15.95" customHeight="1" x14ac:dyDescent="0.25">
      <c r="E51" s="45" t="s">
        <v>37</v>
      </c>
      <c r="F51" s="49">
        <f>SUM(G51:Q51)</f>
        <v>25486255.600000001</v>
      </c>
      <c r="G51" s="49">
        <v>56121</v>
      </c>
      <c r="H51" s="49">
        <v>3263825</v>
      </c>
      <c r="I51" s="49">
        <v>65.599999999999994</v>
      </c>
      <c r="J51" s="49">
        <v>6463829</v>
      </c>
      <c r="K51" s="49">
        <v>1922117</v>
      </c>
      <c r="L51" s="49">
        <v>1427979</v>
      </c>
      <c r="M51" s="80">
        <v>1001823</v>
      </c>
      <c r="N51" s="80">
        <v>9789410</v>
      </c>
      <c r="O51" s="49">
        <v>1553745</v>
      </c>
      <c r="P51" s="83">
        <v>0</v>
      </c>
      <c r="Q51" s="81">
        <v>7341</v>
      </c>
    </row>
    <row r="52" spans="5:17" ht="15.95" customHeight="1" x14ac:dyDescent="0.25">
      <c r="E52" s="45"/>
      <c r="F52" s="49">
        <f t="shared" ref="F52:P52" si="4">F49+F50+F51</f>
        <v>80787281.599999994</v>
      </c>
      <c r="G52" s="49">
        <f t="shared" si="4"/>
        <v>257776</v>
      </c>
      <c r="H52" s="49">
        <f t="shared" si="4"/>
        <v>10615675</v>
      </c>
      <c r="I52" s="49">
        <f t="shared" si="4"/>
        <v>65.599999999999994</v>
      </c>
      <c r="J52" s="49">
        <f t="shared" si="4"/>
        <v>21403958</v>
      </c>
      <c r="K52" s="49">
        <f>K49+K50+K51</f>
        <v>6263413</v>
      </c>
      <c r="L52" s="49">
        <f t="shared" si="4"/>
        <v>4187687</v>
      </c>
      <c r="M52" s="80">
        <f>SUM(M49:M51)</f>
        <v>3002103</v>
      </c>
      <c r="N52" s="82">
        <f>SUM(N49:N51)</f>
        <v>30099091</v>
      </c>
      <c r="O52" s="49">
        <f t="shared" si="4"/>
        <v>4913332</v>
      </c>
      <c r="P52" s="49">
        <f t="shared" si="4"/>
        <v>0</v>
      </c>
      <c r="Q52" s="81">
        <f>Q49+Q50+Q51</f>
        <v>44181</v>
      </c>
    </row>
    <row r="53" spans="5:17" ht="15.95" customHeight="1" x14ac:dyDescent="0.25">
      <c r="E53" s="70" t="s">
        <v>38</v>
      </c>
      <c r="F53" s="49">
        <f t="shared" ref="F53:P53" si="5">F37+F38+F39+F41+F42+F43+F45+F46+F47+F49+F50+F51</f>
        <v>305080898.03000003</v>
      </c>
      <c r="G53" s="49">
        <f t="shared" si="5"/>
        <v>1181469</v>
      </c>
      <c r="H53" s="49">
        <f t="shared" si="5"/>
        <v>42944546</v>
      </c>
      <c r="I53" s="49">
        <f t="shared" si="5"/>
        <v>1576.35</v>
      </c>
      <c r="J53" s="49">
        <f t="shared" si="5"/>
        <v>86342727</v>
      </c>
      <c r="K53" s="49">
        <f>K37+K38+K39+K41+K42+K43+K45+K46+K47+K49+K50+K51</f>
        <v>27800845</v>
      </c>
      <c r="L53" s="49">
        <f t="shared" si="5"/>
        <v>15878491</v>
      </c>
      <c r="M53" s="49">
        <f t="shared" si="5"/>
        <v>12538331</v>
      </c>
      <c r="N53" s="83">
        <f t="shared" si="5"/>
        <v>101241428</v>
      </c>
      <c r="O53" s="49">
        <f t="shared" si="5"/>
        <v>17041137</v>
      </c>
      <c r="P53" s="49">
        <f t="shared" si="5"/>
        <v>0</v>
      </c>
      <c r="Q53" s="81">
        <f>Q37+Q38+Q39+Q41+Q42+Q43+Q45+Q46+Q47+Q49+Q50+Q51</f>
        <v>110347.68</v>
      </c>
    </row>
    <row r="54" spans="5:17" ht="15.95" customHeight="1" thickBot="1" x14ac:dyDescent="0.3">
      <c r="E54" s="58"/>
      <c r="F54" s="26"/>
      <c r="G54" s="27"/>
      <c r="H54" s="27"/>
      <c r="I54" s="27"/>
      <c r="J54" s="27"/>
      <c r="K54" s="27"/>
      <c r="L54" s="27"/>
      <c r="M54" s="27"/>
      <c r="N54" s="28"/>
      <c r="O54" s="27"/>
      <c r="P54" s="28"/>
      <c r="Q54" s="67"/>
    </row>
    <row r="55" spans="5:17" ht="16.5" thickTop="1" x14ac:dyDescent="0.25">
      <c r="F55" s="59"/>
      <c r="G55" s="60"/>
      <c r="H55" s="60"/>
      <c r="I55" s="60"/>
      <c r="J55" s="60"/>
      <c r="K55" s="60"/>
      <c r="L55" s="60"/>
      <c r="M55" s="60"/>
      <c r="N55" s="60"/>
      <c r="O55" s="60"/>
      <c r="P55" s="37"/>
    </row>
    <row r="56" spans="5:17" ht="15.75" x14ac:dyDescent="0.25">
      <c r="E56" s="33" t="s">
        <v>23</v>
      </c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37"/>
    </row>
    <row r="57" spans="5:17" ht="15.75" x14ac:dyDescent="0.25">
      <c r="E57" s="61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37"/>
    </row>
    <row r="58" spans="5:17" ht="15.75" x14ac:dyDescent="0.25">
      <c r="F58" s="59"/>
      <c r="G58" s="60"/>
      <c r="H58" s="60"/>
      <c r="I58" s="60"/>
      <c r="J58" s="60"/>
      <c r="K58" s="60"/>
      <c r="L58" s="60"/>
      <c r="M58" s="60"/>
      <c r="N58" s="60"/>
      <c r="O58" s="60"/>
    </row>
    <row r="59" spans="5:17" ht="15.75" x14ac:dyDescent="0.25">
      <c r="F59" s="59"/>
      <c r="G59" s="60"/>
      <c r="H59" s="60"/>
      <c r="I59" s="60"/>
      <c r="J59" s="60"/>
      <c r="K59" s="60"/>
      <c r="L59" s="60"/>
      <c r="M59" s="60"/>
      <c r="N59" s="60"/>
      <c r="O59" s="60"/>
    </row>
    <row r="60" spans="5:17" ht="15.75" x14ac:dyDescent="0.25">
      <c r="F60" s="59"/>
      <c r="G60" s="60"/>
      <c r="H60" s="60"/>
      <c r="I60" s="60"/>
      <c r="J60" s="60"/>
      <c r="K60" s="60"/>
      <c r="L60" s="60"/>
      <c r="M60" s="60"/>
      <c r="N60" s="60"/>
      <c r="O60" s="60"/>
    </row>
    <row r="61" spans="5:17" ht="15.75" x14ac:dyDescent="0.25">
      <c r="F61" s="59"/>
      <c r="G61" s="60"/>
      <c r="H61" s="60"/>
      <c r="I61" s="60"/>
      <c r="J61" s="60"/>
      <c r="K61" s="60"/>
      <c r="L61" s="60"/>
      <c r="M61" s="60"/>
      <c r="N61" s="60"/>
      <c r="O61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A405-CDF5-4B3B-B9E3-B45FC9401E9A}">
  <sheetPr syncVertical="1" syncRef="A1" transitionEvaluation="1"/>
  <dimension ref="A1:Q61"/>
  <sheetViews>
    <sheetView showGridLines="0" tabSelected="1" topLeftCell="D1" workbookViewId="0">
      <selection activeCell="E2" sqref="E2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22.85546875" style="1" bestFit="1" customWidth="1"/>
    <col min="11" max="11" width="21.140625" style="1" bestFit="1" customWidth="1"/>
    <col min="12" max="12" width="15" style="1" customWidth="1"/>
    <col min="13" max="13" width="14.5703125" style="1" customWidth="1"/>
    <col min="14" max="15" width="14.28515625" style="1" customWidth="1"/>
    <col min="16" max="17" width="14.140625" style="1" customWidth="1"/>
    <col min="18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22.85546875" style="1" bestFit="1" customWidth="1"/>
    <col min="267" max="267" width="21.140625" style="1" bestFit="1" customWidth="1"/>
    <col min="268" max="268" width="15" style="1" customWidth="1"/>
    <col min="269" max="269" width="14.5703125" style="1" customWidth="1"/>
    <col min="270" max="271" width="14.28515625" style="1" customWidth="1"/>
    <col min="272" max="273" width="14.140625" style="1" customWidth="1"/>
    <col min="274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22.85546875" style="1" bestFit="1" customWidth="1"/>
    <col min="523" max="523" width="21.140625" style="1" bestFit="1" customWidth="1"/>
    <col min="524" max="524" width="15" style="1" customWidth="1"/>
    <col min="525" max="525" width="14.5703125" style="1" customWidth="1"/>
    <col min="526" max="527" width="14.28515625" style="1" customWidth="1"/>
    <col min="528" max="529" width="14.140625" style="1" customWidth="1"/>
    <col min="530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22.85546875" style="1" bestFit="1" customWidth="1"/>
    <col min="779" max="779" width="21.140625" style="1" bestFit="1" customWidth="1"/>
    <col min="780" max="780" width="15" style="1" customWidth="1"/>
    <col min="781" max="781" width="14.5703125" style="1" customWidth="1"/>
    <col min="782" max="783" width="14.28515625" style="1" customWidth="1"/>
    <col min="784" max="785" width="14.140625" style="1" customWidth="1"/>
    <col min="786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22.85546875" style="1" bestFit="1" customWidth="1"/>
    <col min="1035" max="1035" width="21.140625" style="1" bestFit="1" customWidth="1"/>
    <col min="1036" max="1036" width="15" style="1" customWidth="1"/>
    <col min="1037" max="1037" width="14.5703125" style="1" customWidth="1"/>
    <col min="1038" max="1039" width="14.28515625" style="1" customWidth="1"/>
    <col min="1040" max="1041" width="14.140625" style="1" customWidth="1"/>
    <col min="1042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22.85546875" style="1" bestFit="1" customWidth="1"/>
    <col min="1291" max="1291" width="21.140625" style="1" bestFit="1" customWidth="1"/>
    <col min="1292" max="1292" width="15" style="1" customWidth="1"/>
    <col min="1293" max="1293" width="14.5703125" style="1" customWidth="1"/>
    <col min="1294" max="1295" width="14.28515625" style="1" customWidth="1"/>
    <col min="1296" max="1297" width="14.140625" style="1" customWidth="1"/>
    <col min="1298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22.85546875" style="1" bestFit="1" customWidth="1"/>
    <col min="1547" max="1547" width="21.140625" style="1" bestFit="1" customWidth="1"/>
    <col min="1548" max="1548" width="15" style="1" customWidth="1"/>
    <col min="1549" max="1549" width="14.5703125" style="1" customWidth="1"/>
    <col min="1550" max="1551" width="14.28515625" style="1" customWidth="1"/>
    <col min="1552" max="1553" width="14.140625" style="1" customWidth="1"/>
    <col min="1554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22.85546875" style="1" bestFit="1" customWidth="1"/>
    <col min="1803" max="1803" width="21.140625" style="1" bestFit="1" customWidth="1"/>
    <col min="1804" max="1804" width="15" style="1" customWidth="1"/>
    <col min="1805" max="1805" width="14.5703125" style="1" customWidth="1"/>
    <col min="1806" max="1807" width="14.28515625" style="1" customWidth="1"/>
    <col min="1808" max="1809" width="14.140625" style="1" customWidth="1"/>
    <col min="1810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22.85546875" style="1" bestFit="1" customWidth="1"/>
    <col min="2059" max="2059" width="21.140625" style="1" bestFit="1" customWidth="1"/>
    <col min="2060" max="2060" width="15" style="1" customWidth="1"/>
    <col min="2061" max="2061" width="14.5703125" style="1" customWidth="1"/>
    <col min="2062" max="2063" width="14.28515625" style="1" customWidth="1"/>
    <col min="2064" max="2065" width="14.140625" style="1" customWidth="1"/>
    <col min="2066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22.85546875" style="1" bestFit="1" customWidth="1"/>
    <col min="2315" max="2315" width="21.140625" style="1" bestFit="1" customWidth="1"/>
    <col min="2316" max="2316" width="15" style="1" customWidth="1"/>
    <col min="2317" max="2317" width="14.5703125" style="1" customWidth="1"/>
    <col min="2318" max="2319" width="14.28515625" style="1" customWidth="1"/>
    <col min="2320" max="2321" width="14.140625" style="1" customWidth="1"/>
    <col min="2322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22.85546875" style="1" bestFit="1" customWidth="1"/>
    <col min="2571" max="2571" width="21.140625" style="1" bestFit="1" customWidth="1"/>
    <col min="2572" max="2572" width="15" style="1" customWidth="1"/>
    <col min="2573" max="2573" width="14.5703125" style="1" customWidth="1"/>
    <col min="2574" max="2575" width="14.28515625" style="1" customWidth="1"/>
    <col min="2576" max="2577" width="14.140625" style="1" customWidth="1"/>
    <col min="2578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22.85546875" style="1" bestFit="1" customWidth="1"/>
    <col min="2827" max="2827" width="21.140625" style="1" bestFit="1" customWidth="1"/>
    <col min="2828" max="2828" width="15" style="1" customWidth="1"/>
    <col min="2829" max="2829" width="14.5703125" style="1" customWidth="1"/>
    <col min="2830" max="2831" width="14.28515625" style="1" customWidth="1"/>
    <col min="2832" max="2833" width="14.140625" style="1" customWidth="1"/>
    <col min="2834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22.85546875" style="1" bestFit="1" customWidth="1"/>
    <col min="3083" max="3083" width="21.140625" style="1" bestFit="1" customWidth="1"/>
    <col min="3084" max="3084" width="15" style="1" customWidth="1"/>
    <col min="3085" max="3085" width="14.5703125" style="1" customWidth="1"/>
    <col min="3086" max="3087" width="14.28515625" style="1" customWidth="1"/>
    <col min="3088" max="3089" width="14.140625" style="1" customWidth="1"/>
    <col min="3090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22.85546875" style="1" bestFit="1" customWidth="1"/>
    <col min="3339" max="3339" width="21.140625" style="1" bestFit="1" customWidth="1"/>
    <col min="3340" max="3340" width="15" style="1" customWidth="1"/>
    <col min="3341" max="3341" width="14.5703125" style="1" customWidth="1"/>
    <col min="3342" max="3343" width="14.28515625" style="1" customWidth="1"/>
    <col min="3344" max="3345" width="14.140625" style="1" customWidth="1"/>
    <col min="3346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22.85546875" style="1" bestFit="1" customWidth="1"/>
    <col min="3595" max="3595" width="21.140625" style="1" bestFit="1" customWidth="1"/>
    <col min="3596" max="3596" width="15" style="1" customWidth="1"/>
    <col min="3597" max="3597" width="14.5703125" style="1" customWidth="1"/>
    <col min="3598" max="3599" width="14.28515625" style="1" customWidth="1"/>
    <col min="3600" max="3601" width="14.140625" style="1" customWidth="1"/>
    <col min="3602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22.85546875" style="1" bestFit="1" customWidth="1"/>
    <col min="3851" max="3851" width="21.140625" style="1" bestFit="1" customWidth="1"/>
    <col min="3852" max="3852" width="15" style="1" customWidth="1"/>
    <col min="3853" max="3853" width="14.5703125" style="1" customWidth="1"/>
    <col min="3854" max="3855" width="14.28515625" style="1" customWidth="1"/>
    <col min="3856" max="3857" width="14.140625" style="1" customWidth="1"/>
    <col min="3858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22.85546875" style="1" bestFit="1" customWidth="1"/>
    <col min="4107" max="4107" width="21.140625" style="1" bestFit="1" customWidth="1"/>
    <col min="4108" max="4108" width="15" style="1" customWidth="1"/>
    <col min="4109" max="4109" width="14.5703125" style="1" customWidth="1"/>
    <col min="4110" max="4111" width="14.28515625" style="1" customWidth="1"/>
    <col min="4112" max="4113" width="14.140625" style="1" customWidth="1"/>
    <col min="4114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22.85546875" style="1" bestFit="1" customWidth="1"/>
    <col min="4363" max="4363" width="21.140625" style="1" bestFit="1" customWidth="1"/>
    <col min="4364" max="4364" width="15" style="1" customWidth="1"/>
    <col min="4365" max="4365" width="14.5703125" style="1" customWidth="1"/>
    <col min="4366" max="4367" width="14.28515625" style="1" customWidth="1"/>
    <col min="4368" max="4369" width="14.140625" style="1" customWidth="1"/>
    <col min="4370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22.85546875" style="1" bestFit="1" customWidth="1"/>
    <col min="4619" max="4619" width="21.140625" style="1" bestFit="1" customWidth="1"/>
    <col min="4620" max="4620" width="15" style="1" customWidth="1"/>
    <col min="4621" max="4621" width="14.5703125" style="1" customWidth="1"/>
    <col min="4622" max="4623" width="14.28515625" style="1" customWidth="1"/>
    <col min="4624" max="4625" width="14.140625" style="1" customWidth="1"/>
    <col min="4626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22.85546875" style="1" bestFit="1" customWidth="1"/>
    <col min="4875" max="4875" width="21.140625" style="1" bestFit="1" customWidth="1"/>
    <col min="4876" max="4876" width="15" style="1" customWidth="1"/>
    <col min="4877" max="4877" width="14.5703125" style="1" customWidth="1"/>
    <col min="4878" max="4879" width="14.28515625" style="1" customWidth="1"/>
    <col min="4880" max="4881" width="14.140625" style="1" customWidth="1"/>
    <col min="4882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22.85546875" style="1" bestFit="1" customWidth="1"/>
    <col min="5131" max="5131" width="21.140625" style="1" bestFit="1" customWidth="1"/>
    <col min="5132" max="5132" width="15" style="1" customWidth="1"/>
    <col min="5133" max="5133" width="14.5703125" style="1" customWidth="1"/>
    <col min="5134" max="5135" width="14.28515625" style="1" customWidth="1"/>
    <col min="5136" max="5137" width="14.140625" style="1" customWidth="1"/>
    <col min="5138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22.85546875" style="1" bestFit="1" customWidth="1"/>
    <col min="5387" max="5387" width="21.140625" style="1" bestFit="1" customWidth="1"/>
    <col min="5388" max="5388" width="15" style="1" customWidth="1"/>
    <col min="5389" max="5389" width="14.5703125" style="1" customWidth="1"/>
    <col min="5390" max="5391" width="14.28515625" style="1" customWidth="1"/>
    <col min="5392" max="5393" width="14.140625" style="1" customWidth="1"/>
    <col min="5394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22.85546875" style="1" bestFit="1" customWidth="1"/>
    <col min="5643" max="5643" width="21.140625" style="1" bestFit="1" customWidth="1"/>
    <col min="5644" max="5644" width="15" style="1" customWidth="1"/>
    <col min="5645" max="5645" width="14.5703125" style="1" customWidth="1"/>
    <col min="5646" max="5647" width="14.28515625" style="1" customWidth="1"/>
    <col min="5648" max="5649" width="14.140625" style="1" customWidth="1"/>
    <col min="5650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22.85546875" style="1" bestFit="1" customWidth="1"/>
    <col min="5899" max="5899" width="21.140625" style="1" bestFit="1" customWidth="1"/>
    <col min="5900" max="5900" width="15" style="1" customWidth="1"/>
    <col min="5901" max="5901" width="14.5703125" style="1" customWidth="1"/>
    <col min="5902" max="5903" width="14.28515625" style="1" customWidth="1"/>
    <col min="5904" max="5905" width="14.140625" style="1" customWidth="1"/>
    <col min="5906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22.85546875" style="1" bestFit="1" customWidth="1"/>
    <col min="6155" max="6155" width="21.140625" style="1" bestFit="1" customWidth="1"/>
    <col min="6156" max="6156" width="15" style="1" customWidth="1"/>
    <col min="6157" max="6157" width="14.5703125" style="1" customWidth="1"/>
    <col min="6158" max="6159" width="14.28515625" style="1" customWidth="1"/>
    <col min="6160" max="6161" width="14.140625" style="1" customWidth="1"/>
    <col min="6162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22.85546875" style="1" bestFit="1" customWidth="1"/>
    <col min="6411" max="6411" width="21.140625" style="1" bestFit="1" customWidth="1"/>
    <col min="6412" max="6412" width="15" style="1" customWidth="1"/>
    <col min="6413" max="6413" width="14.5703125" style="1" customWidth="1"/>
    <col min="6414" max="6415" width="14.28515625" style="1" customWidth="1"/>
    <col min="6416" max="6417" width="14.140625" style="1" customWidth="1"/>
    <col min="6418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22.85546875" style="1" bestFit="1" customWidth="1"/>
    <col min="6667" max="6667" width="21.140625" style="1" bestFit="1" customWidth="1"/>
    <col min="6668" max="6668" width="15" style="1" customWidth="1"/>
    <col min="6669" max="6669" width="14.5703125" style="1" customWidth="1"/>
    <col min="6670" max="6671" width="14.28515625" style="1" customWidth="1"/>
    <col min="6672" max="6673" width="14.140625" style="1" customWidth="1"/>
    <col min="6674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22.85546875" style="1" bestFit="1" customWidth="1"/>
    <col min="6923" max="6923" width="21.140625" style="1" bestFit="1" customWidth="1"/>
    <col min="6924" max="6924" width="15" style="1" customWidth="1"/>
    <col min="6925" max="6925" width="14.5703125" style="1" customWidth="1"/>
    <col min="6926" max="6927" width="14.28515625" style="1" customWidth="1"/>
    <col min="6928" max="6929" width="14.140625" style="1" customWidth="1"/>
    <col min="6930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22.85546875" style="1" bestFit="1" customWidth="1"/>
    <col min="7179" max="7179" width="21.140625" style="1" bestFit="1" customWidth="1"/>
    <col min="7180" max="7180" width="15" style="1" customWidth="1"/>
    <col min="7181" max="7181" width="14.5703125" style="1" customWidth="1"/>
    <col min="7182" max="7183" width="14.28515625" style="1" customWidth="1"/>
    <col min="7184" max="7185" width="14.140625" style="1" customWidth="1"/>
    <col min="7186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22.85546875" style="1" bestFit="1" customWidth="1"/>
    <col min="7435" max="7435" width="21.140625" style="1" bestFit="1" customWidth="1"/>
    <col min="7436" max="7436" width="15" style="1" customWidth="1"/>
    <col min="7437" max="7437" width="14.5703125" style="1" customWidth="1"/>
    <col min="7438" max="7439" width="14.28515625" style="1" customWidth="1"/>
    <col min="7440" max="7441" width="14.140625" style="1" customWidth="1"/>
    <col min="7442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22.85546875" style="1" bestFit="1" customWidth="1"/>
    <col min="7691" max="7691" width="21.140625" style="1" bestFit="1" customWidth="1"/>
    <col min="7692" max="7692" width="15" style="1" customWidth="1"/>
    <col min="7693" max="7693" width="14.5703125" style="1" customWidth="1"/>
    <col min="7694" max="7695" width="14.28515625" style="1" customWidth="1"/>
    <col min="7696" max="7697" width="14.140625" style="1" customWidth="1"/>
    <col min="7698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22.85546875" style="1" bestFit="1" customWidth="1"/>
    <col min="7947" max="7947" width="21.140625" style="1" bestFit="1" customWidth="1"/>
    <col min="7948" max="7948" width="15" style="1" customWidth="1"/>
    <col min="7949" max="7949" width="14.5703125" style="1" customWidth="1"/>
    <col min="7950" max="7951" width="14.28515625" style="1" customWidth="1"/>
    <col min="7952" max="7953" width="14.140625" style="1" customWidth="1"/>
    <col min="7954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22.85546875" style="1" bestFit="1" customWidth="1"/>
    <col min="8203" max="8203" width="21.140625" style="1" bestFit="1" customWidth="1"/>
    <col min="8204" max="8204" width="15" style="1" customWidth="1"/>
    <col min="8205" max="8205" width="14.5703125" style="1" customWidth="1"/>
    <col min="8206" max="8207" width="14.28515625" style="1" customWidth="1"/>
    <col min="8208" max="8209" width="14.140625" style="1" customWidth="1"/>
    <col min="8210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22.85546875" style="1" bestFit="1" customWidth="1"/>
    <col min="8459" max="8459" width="21.140625" style="1" bestFit="1" customWidth="1"/>
    <col min="8460" max="8460" width="15" style="1" customWidth="1"/>
    <col min="8461" max="8461" width="14.5703125" style="1" customWidth="1"/>
    <col min="8462" max="8463" width="14.28515625" style="1" customWidth="1"/>
    <col min="8464" max="8465" width="14.140625" style="1" customWidth="1"/>
    <col min="8466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22.85546875" style="1" bestFit="1" customWidth="1"/>
    <col min="8715" max="8715" width="21.140625" style="1" bestFit="1" customWidth="1"/>
    <col min="8716" max="8716" width="15" style="1" customWidth="1"/>
    <col min="8717" max="8717" width="14.5703125" style="1" customWidth="1"/>
    <col min="8718" max="8719" width="14.28515625" style="1" customWidth="1"/>
    <col min="8720" max="8721" width="14.140625" style="1" customWidth="1"/>
    <col min="8722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22.85546875" style="1" bestFit="1" customWidth="1"/>
    <col min="8971" max="8971" width="21.140625" style="1" bestFit="1" customWidth="1"/>
    <col min="8972" max="8972" width="15" style="1" customWidth="1"/>
    <col min="8973" max="8973" width="14.5703125" style="1" customWidth="1"/>
    <col min="8974" max="8975" width="14.28515625" style="1" customWidth="1"/>
    <col min="8976" max="8977" width="14.140625" style="1" customWidth="1"/>
    <col min="8978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22.85546875" style="1" bestFit="1" customWidth="1"/>
    <col min="9227" max="9227" width="21.140625" style="1" bestFit="1" customWidth="1"/>
    <col min="9228" max="9228" width="15" style="1" customWidth="1"/>
    <col min="9229" max="9229" width="14.5703125" style="1" customWidth="1"/>
    <col min="9230" max="9231" width="14.28515625" style="1" customWidth="1"/>
    <col min="9232" max="9233" width="14.140625" style="1" customWidth="1"/>
    <col min="9234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22.85546875" style="1" bestFit="1" customWidth="1"/>
    <col min="9483" max="9483" width="21.140625" style="1" bestFit="1" customWidth="1"/>
    <col min="9484" max="9484" width="15" style="1" customWidth="1"/>
    <col min="9485" max="9485" width="14.5703125" style="1" customWidth="1"/>
    <col min="9486" max="9487" width="14.28515625" style="1" customWidth="1"/>
    <col min="9488" max="9489" width="14.140625" style="1" customWidth="1"/>
    <col min="9490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22.85546875" style="1" bestFit="1" customWidth="1"/>
    <col min="9739" max="9739" width="21.140625" style="1" bestFit="1" customWidth="1"/>
    <col min="9740" max="9740" width="15" style="1" customWidth="1"/>
    <col min="9741" max="9741" width="14.5703125" style="1" customWidth="1"/>
    <col min="9742" max="9743" width="14.28515625" style="1" customWidth="1"/>
    <col min="9744" max="9745" width="14.140625" style="1" customWidth="1"/>
    <col min="9746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22.85546875" style="1" bestFit="1" customWidth="1"/>
    <col min="9995" max="9995" width="21.140625" style="1" bestFit="1" customWidth="1"/>
    <col min="9996" max="9996" width="15" style="1" customWidth="1"/>
    <col min="9997" max="9997" width="14.5703125" style="1" customWidth="1"/>
    <col min="9998" max="9999" width="14.28515625" style="1" customWidth="1"/>
    <col min="10000" max="10001" width="14.140625" style="1" customWidth="1"/>
    <col min="10002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22.85546875" style="1" bestFit="1" customWidth="1"/>
    <col min="10251" max="10251" width="21.140625" style="1" bestFit="1" customWidth="1"/>
    <col min="10252" max="10252" width="15" style="1" customWidth="1"/>
    <col min="10253" max="10253" width="14.5703125" style="1" customWidth="1"/>
    <col min="10254" max="10255" width="14.28515625" style="1" customWidth="1"/>
    <col min="10256" max="10257" width="14.140625" style="1" customWidth="1"/>
    <col min="10258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22.85546875" style="1" bestFit="1" customWidth="1"/>
    <col min="10507" max="10507" width="21.140625" style="1" bestFit="1" customWidth="1"/>
    <col min="10508" max="10508" width="15" style="1" customWidth="1"/>
    <col min="10509" max="10509" width="14.5703125" style="1" customWidth="1"/>
    <col min="10510" max="10511" width="14.28515625" style="1" customWidth="1"/>
    <col min="10512" max="10513" width="14.140625" style="1" customWidth="1"/>
    <col min="10514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22.85546875" style="1" bestFit="1" customWidth="1"/>
    <col min="10763" max="10763" width="21.140625" style="1" bestFit="1" customWidth="1"/>
    <col min="10764" max="10764" width="15" style="1" customWidth="1"/>
    <col min="10765" max="10765" width="14.5703125" style="1" customWidth="1"/>
    <col min="10766" max="10767" width="14.28515625" style="1" customWidth="1"/>
    <col min="10768" max="10769" width="14.140625" style="1" customWidth="1"/>
    <col min="10770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22.85546875" style="1" bestFit="1" customWidth="1"/>
    <col min="11019" max="11019" width="21.140625" style="1" bestFit="1" customWidth="1"/>
    <col min="11020" max="11020" width="15" style="1" customWidth="1"/>
    <col min="11021" max="11021" width="14.5703125" style="1" customWidth="1"/>
    <col min="11022" max="11023" width="14.28515625" style="1" customWidth="1"/>
    <col min="11024" max="11025" width="14.140625" style="1" customWidth="1"/>
    <col min="11026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22.85546875" style="1" bestFit="1" customWidth="1"/>
    <col min="11275" max="11275" width="21.140625" style="1" bestFit="1" customWidth="1"/>
    <col min="11276" max="11276" width="15" style="1" customWidth="1"/>
    <col min="11277" max="11277" width="14.5703125" style="1" customWidth="1"/>
    <col min="11278" max="11279" width="14.28515625" style="1" customWidth="1"/>
    <col min="11280" max="11281" width="14.140625" style="1" customWidth="1"/>
    <col min="11282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22.85546875" style="1" bestFit="1" customWidth="1"/>
    <col min="11531" max="11531" width="21.140625" style="1" bestFit="1" customWidth="1"/>
    <col min="11532" max="11532" width="15" style="1" customWidth="1"/>
    <col min="11533" max="11533" width="14.5703125" style="1" customWidth="1"/>
    <col min="11534" max="11535" width="14.28515625" style="1" customWidth="1"/>
    <col min="11536" max="11537" width="14.140625" style="1" customWidth="1"/>
    <col min="11538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22.85546875" style="1" bestFit="1" customWidth="1"/>
    <col min="11787" max="11787" width="21.140625" style="1" bestFit="1" customWidth="1"/>
    <col min="11788" max="11788" width="15" style="1" customWidth="1"/>
    <col min="11789" max="11789" width="14.5703125" style="1" customWidth="1"/>
    <col min="11790" max="11791" width="14.28515625" style="1" customWidth="1"/>
    <col min="11792" max="11793" width="14.140625" style="1" customWidth="1"/>
    <col min="11794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22.85546875" style="1" bestFit="1" customWidth="1"/>
    <col min="12043" max="12043" width="21.140625" style="1" bestFit="1" customWidth="1"/>
    <col min="12044" max="12044" width="15" style="1" customWidth="1"/>
    <col min="12045" max="12045" width="14.5703125" style="1" customWidth="1"/>
    <col min="12046" max="12047" width="14.28515625" style="1" customWidth="1"/>
    <col min="12048" max="12049" width="14.140625" style="1" customWidth="1"/>
    <col min="12050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22.85546875" style="1" bestFit="1" customWidth="1"/>
    <col min="12299" max="12299" width="21.140625" style="1" bestFit="1" customWidth="1"/>
    <col min="12300" max="12300" width="15" style="1" customWidth="1"/>
    <col min="12301" max="12301" width="14.5703125" style="1" customWidth="1"/>
    <col min="12302" max="12303" width="14.28515625" style="1" customWidth="1"/>
    <col min="12304" max="12305" width="14.140625" style="1" customWidth="1"/>
    <col min="12306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22.85546875" style="1" bestFit="1" customWidth="1"/>
    <col min="12555" max="12555" width="21.140625" style="1" bestFit="1" customWidth="1"/>
    <col min="12556" max="12556" width="15" style="1" customWidth="1"/>
    <col min="12557" max="12557" width="14.5703125" style="1" customWidth="1"/>
    <col min="12558" max="12559" width="14.28515625" style="1" customWidth="1"/>
    <col min="12560" max="12561" width="14.140625" style="1" customWidth="1"/>
    <col min="12562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22.85546875" style="1" bestFit="1" customWidth="1"/>
    <col min="12811" max="12811" width="21.140625" style="1" bestFit="1" customWidth="1"/>
    <col min="12812" max="12812" width="15" style="1" customWidth="1"/>
    <col min="12813" max="12813" width="14.5703125" style="1" customWidth="1"/>
    <col min="12814" max="12815" width="14.28515625" style="1" customWidth="1"/>
    <col min="12816" max="12817" width="14.140625" style="1" customWidth="1"/>
    <col min="12818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22.85546875" style="1" bestFit="1" customWidth="1"/>
    <col min="13067" max="13067" width="21.140625" style="1" bestFit="1" customWidth="1"/>
    <col min="13068" max="13068" width="15" style="1" customWidth="1"/>
    <col min="13069" max="13069" width="14.5703125" style="1" customWidth="1"/>
    <col min="13070" max="13071" width="14.28515625" style="1" customWidth="1"/>
    <col min="13072" max="13073" width="14.140625" style="1" customWidth="1"/>
    <col min="13074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22.85546875" style="1" bestFit="1" customWidth="1"/>
    <col min="13323" max="13323" width="21.140625" style="1" bestFit="1" customWidth="1"/>
    <col min="13324" max="13324" width="15" style="1" customWidth="1"/>
    <col min="13325" max="13325" width="14.5703125" style="1" customWidth="1"/>
    <col min="13326" max="13327" width="14.28515625" style="1" customWidth="1"/>
    <col min="13328" max="13329" width="14.140625" style="1" customWidth="1"/>
    <col min="13330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22.85546875" style="1" bestFit="1" customWidth="1"/>
    <col min="13579" max="13579" width="21.140625" style="1" bestFit="1" customWidth="1"/>
    <col min="13580" max="13580" width="15" style="1" customWidth="1"/>
    <col min="13581" max="13581" width="14.5703125" style="1" customWidth="1"/>
    <col min="13582" max="13583" width="14.28515625" style="1" customWidth="1"/>
    <col min="13584" max="13585" width="14.140625" style="1" customWidth="1"/>
    <col min="13586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22.85546875" style="1" bestFit="1" customWidth="1"/>
    <col min="13835" max="13835" width="21.140625" style="1" bestFit="1" customWidth="1"/>
    <col min="13836" max="13836" width="15" style="1" customWidth="1"/>
    <col min="13837" max="13837" width="14.5703125" style="1" customWidth="1"/>
    <col min="13838" max="13839" width="14.28515625" style="1" customWidth="1"/>
    <col min="13840" max="13841" width="14.140625" style="1" customWidth="1"/>
    <col min="13842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22.85546875" style="1" bestFit="1" customWidth="1"/>
    <col min="14091" max="14091" width="21.140625" style="1" bestFit="1" customWidth="1"/>
    <col min="14092" max="14092" width="15" style="1" customWidth="1"/>
    <col min="14093" max="14093" width="14.5703125" style="1" customWidth="1"/>
    <col min="14094" max="14095" width="14.28515625" style="1" customWidth="1"/>
    <col min="14096" max="14097" width="14.140625" style="1" customWidth="1"/>
    <col min="14098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22.85546875" style="1" bestFit="1" customWidth="1"/>
    <col min="14347" max="14347" width="21.140625" style="1" bestFit="1" customWidth="1"/>
    <col min="14348" max="14348" width="15" style="1" customWidth="1"/>
    <col min="14349" max="14349" width="14.5703125" style="1" customWidth="1"/>
    <col min="14350" max="14351" width="14.28515625" style="1" customWidth="1"/>
    <col min="14352" max="14353" width="14.140625" style="1" customWidth="1"/>
    <col min="14354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22.85546875" style="1" bestFit="1" customWidth="1"/>
    <col min="14603" max="14603" width="21.140625" style="1" bestFit="1" customWidth="1"/>
    <col min="14604" max="14604" width="15" style="1" customWidth="1"/>
    <col min="14605" max="14605" width="14.5703125" style="1" customWidth="1"/>
    <col min="14606" max="14607" width="14.28515625" style="1" customWidth="1"/>
    <col min="14608" max="14609" width="14.140625" style="1" customWidth="1"/>
    <col min="14610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22.85546875" style="1" bestFit="1" customWidth="1"/>
    <col min="14859" max="14859" width="21.140625" style="1" bestFit="1" customWidth="1"/>
    <col min="14860" max="14860" width="15" style="1" customWidth="1"/>
    <col min="14861" max="14861" width="14.5703125" style="1" customWidth="1"/>
    <col min="14862" max="14863" width="14.28515625" style="1" customWidth="1"/>
    <col min="14864" max="14865" width="14.140625" style="1" customWidth="1"/>
    <col min="14866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22.85546875" style="1" bestFit="1" customWidth="1"/>
    <col min="15115" max="15115" width="21.140625" style="1" bestFit="1" customWidth="1"/>
    <col min="15116" max="15116" width="15" style="1" customWidth="1"/>
    <col min="15117" max="15117" width="14.5703125" style="1" customWidth="1"/>
    <col min="15118" max="15119" width="14.28515625" style="1" customWidth="1"/>
    <col min="15120" max="15121" width="14.140625" style="1" customWidth="1"/>
    <col min="15122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22.85546875" style="1" bestFit="1" customWidth="1"/>
    <col min="15371" max="15371" width="21.140625" style="1" bestFit="1" customWidth="1"/>
    <col min="15372" max="15372" width="15" style="1" customWidth="1"/>
    <col min="15373" max="15373" width="14.5703125" style="1" customWidth="1"/>
    <col min="15374" max="15375" width="14.28515625" style="1" customWidth="1"/>
    <col min="15376" max="15377" width="14.140625" style="1" customWidth="1"/>
    <col min="15378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22.85546875" style="1" bestFit="1" customWidth="1"/>
    <col min="15627" max="15627" width="21.140625" style="1" bestFit="1" customWidth="1"/>
    <col min="15628" max="15628" width="15" style="1" customWidth="1"/>
    <col min="15629" max="15629" width="14.5703125" style="1" customWidth="1"/>
    <col min="15630" max="15631" width="14.28515625" style="1" customWidth="1"/>
    <col min="15632" max="15633" width="14.140625" style="1" customWidth="1"/>
    <col min="15634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22.85546875" style="1" bestFit="1" customWidth="1"/>
    <col min="15883" max="15883" width="21.140625" style="1" bestFit="1" customWidth="1"/>
    <col min="15884" max="15884" width="15" style="1" customWidth="1"/>
    <col min="15885" max="15885" width="14.5703125" style="1" customWidth="1"/>
    <col min="15886" max="15887" width="14.28515625" style="1" customWidth="1"/>
    <col min="15888" max="15889" width="14.140625" style="1" customWidth="1"/>
    <col min="15890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22.85546875" style="1" bestFit="1" customWidth="1"/>
    <col min="16139" max="16139" width="21.140625" style="1" bestFit="1" customWidth="1"/>
    <col min="16140" max="16140" width="15" style="1" customWidth="1"/>
    <col min="16141" max="16141" width="14.5703125" style="1" customWidth="1"/>
    <col min="16142" max="16143" width="14.28515625" style="1" customWidth="1"/>
    <col min="16144" max="16145" width="14.140625" style="1" customWidth="1"/>
    <col min="16146" max="16384" width="21.5703125" style="1"/>
  </cols>
  <sheetData>
    <row r="1" spans="2:17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2"/>
      <c r="P1" s="2"/>
      <c r="Q1" s="72"/>
    </row>
    <row r="2" spans="2:17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  <c r="O2" s="2"/>
      <c r="P2" s="2"/>
    </row>
    <row r="3" spans="2:17" ht="15.75" x14ac:dyDescent="0.25">
      <c r="E3" s="77">
        <v>2022</v>
      </c>
      <c r="F3" s="3"/>
      <c r="G3" s="3"/>
      <c r="H3" s="7"/>
      <c r="I3" s="3"/>
      <c r="J3" s="7"/>
      <c r="K3" s="7"/>
      <c r="L3" s="7"/>
      <c r="M3" s="7"/>
      <c r="N3" s="7"/>
      <c r="O3" s="7"/>
      <c r="P3" s="7"/>
    </row>
    <row r="4" spans="2:17" ht="16.5" thickBot="1" x14ac:dyDescent="0.3">
      <c r="F4" s="5"/>
      <c r="G4" s="9"/>
      <c r="H4" s="9"/>
      <c r="I4" s="9"/>
      <c r="J4" s="9"/>
      <c r="K4" s="9"/>
      <c r="L4" s="9"/>
      <c r="M4" s="9"/>
      <c r="N4" s="9"/>
      <c r="Q4" s="76" t="s">
        <v>54</v>
      </c>
    </row>
    <row r="5" spans="2:17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61</v>
      </c>
      <c r="K5" s="12" t="s">
        <v>60</v>
      </c>
      <c r="L5" s="12" t="s">
        <v>8</v>
      </c>
      <c r="M5" s="12" t="s">
        <v>9</v>
      </c>
      <c r="N5" s="12" t="s">
        <v>10</v>
      </c>
      <c r="O5" s="12" t="s">
        <v>11</v>
      </c>
      <c r="P5" s="13" t="s">
        <v>59</v>
      </c>
      <c r="Q5" s="63" t="s">
        <v>56</v>
      </c>
    </row>
    <row r="6" spans="2:17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8"/>
      <c r="Q6" s="64"/>
    </row>
    <row r="7" spans="2:17" ht="15.75" x14ac:dyDescent="0.25">
      <c r="E7" s="20" t="s">
        <v>13</v>
      </c>
      <c r="F7" s="16">
        <f>G7+H7+I7+J7+K7+L7+M7+N7+O7+P7+Q7</f>
        <v>170619073.75999999</v>
      </c>
      <c r="G7" s="16">
        <v>742777</v>
      </c>
      <c r="H7" s="16">
        <v>26491756</v>
      </c>
      <c r="I7" s="16">
        <v>263.76</v>
      </c>
      <c r="J7" s="16">
        <v>47428185</v>
      </c>
      <c r="K7" s="16">
        <v>13761232</v>
      </c>
      <c r="L7" s="16">
        <v>238158</v>
      </c>
      <c r="M7" s="16">
        <v>14167701</v>
      </c>
      <c r="N7" s="16">
        <v>54315737</v>
      </c>
      <c r="O7" s="16">
        <v>13438251</v>
      </c>
      <c r="P7" s="16">
        <v>0</v>
      </c>
      <c r="Q7" s="66">
        <v>35013</v>
      </c>
    </row>
    <row r="8" spans="2:17" ht="15.75" x14ac:dyDescent="0.25"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66"/>
    </row>
    <row r="9" spans="2:17" ht="15.75" x14ac:dyDescent="0.25">
      <c r="E9" s="20" t="s">
        <v>14</v>
      </c>
      <c r="F9" s="16">
        <f>G9+H9+I9+J9+K9+L9+M9+N9+O9+P9+Q9</f>
        <v>8722075</v>
      </c>
      <c r="G9" s="16">
        <v>399</v>
      </c>
      <c r="H9" s="16">
        <v>1432379</v>
      </c>
      <c r="I9" s="16">
        <v>0</v>
      </c>
      <c r="J9" s="16">
        <v>1530298</v>
      </c>
      <c r="K9" s="16">
        <v>577318</v>
      </c>
      <c r="L9" s="16">
        <v>5165828</v>
      </c>
      <c r="M9" s="16">
        <v>0</v>
      </c>
      <c r="N9" s="16">
        <v>0</v>
      </c>
      <c r="O9" s="16">
        <v>0</v>
      </c>
      <c r="P9" s="16">
        <v>0</v>
      </c>
      <c r="Q9" s="66">
        <v>15853</v>
      </c>
    </row>
    <row r="10" spans="2:17" ht="15.75" x14ac:dyDescent="0.25">
      <c r="E10" s="20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66"/>
    </row>
    <row r="11" spans="2:17" ht="15.75" x14ac:dyDescent="0.25">
      <c r="B11" s="21"/>
      <c r="C11" s="21"/>
      <c r="D11" s="21"/>
      <c r="E11" s="20" t="s">
        <v>15</v>
      </c>
      <c r="F11" s="16">
        <f>G11+H11+I11+J11+K11+L11+M11+N11+O11+P11+Q11</f>
        <v>75476415</v>
      </c>
      <c r="G11" s="16">
        <v>270214</v>
      </c>
      <c r="H11" s="16">
        <v>10428666</v>
      </c>
      <c r="I11" s="16">
        <v>0</v>
      </c>
      <c r="J11" s="16">
        <v>18754488</v>
      </c>
      <c r="K11" s="16">
        <v>5573479</v>
      </c>
      <c r="L11" s="16">
        <v>725403</v>
      </c>
      <c r="M11" s="16">
        <v>4812787</v>
      </c>
      <c r="N11" s="16">
        <v>29503247</v>
      </c>
      <c r="O11" s="16">
        <v>5403651</v>
      </c>
      <c r="P11" s="16">
        <v>0</v>
      </c>
      <c r="Q11" s="66">
        <v>4480</v>
      </c>
    </row>
    <row r="12" spans="2:17" ht="15.75" x14ac:dyDescent="0.25">
      <c r="E12" s="2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6"/>
    </row>
    <row r="13" spans="2:17" ht="15.75" x14ac:dyDescent="0.25">
      <c r="E13" s="20" t="s">
        <v>17</v>
      </c>
      <c r="F13" s="16">
        <f>G13+H13+I13+J13+K13+L13+M13+N13+O13+P13+Q13</f>
        <v>4188635</v>
      </c>
      <c r="G13" s="16">
        <v>0</v>
      </c>
      <c r="H13" s="16">
        <v>746847</v>
      </c>
      <c r="I13" s="16">
        <v>0</v>
      </c>
      <c r="J13" s="16">
        <v>1143828</v>
      </c>
      <c r="K13" s="16">
        <v>729721</v>
      </c>
      <c r="L13" s="16">
        <v>1568239</v>
      </c>
      <c r="M13" s="16">
        <v>0</v>
      </c>
      <c r="N13" s="16">
        <v>0</v>
      </c>
      <c r="O13" s="16">
        <v>0</v>
      </c>
      <c r="P13" s="16">
        <v>0</v>
      </c>
      <c r="Q13" s="66">
        <v>0</v>
      </c>
    </row>
    <row r="14" spans="2:17" ht="15.75" x14ac:dyDescent="0.25"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66"/>
    </row>
    <row r="15" spans="2:17" ht="15.75" x14ac:dyDescent="0.25">
      <c r="E15" s="20" t="s">
        <v>18</v>
      </c>
      <c r="F15" s="16">
        <f>G15+H15+I15+J15+K15+L15+M15+N15+O15+P15+Q15</f>
        <v>13169198</v>
      </c>
      <c r="G15" s="16">
        <v>0</v>
      </c>
      <c r="H15" s="16">
        <v>1110344</v>
      </c>
      <c r="I15" s="16">
        <v>0</v>
      </c>
      <c r="J15" s="16">
        <v>3177665</v>
      </c>
      <c r="K15" s="16">
        <v>1690118</v>
      </c>
      <c r="L15" s="16">
        <v>6886361</v>
      </c>
      <c r="M15" s="16">
        <v>304710</v>
      </c>
      <c r="N15" s="16">
        <v>0</v>
      </c>
      <c r="O15" s="16">
        <v>0</v>
      </c>
      <c r="P15" s="16">
        <v>0</v>
      </c>
      <c r="Q15" s="66">
        <v>0</v>
      </c>
    </row>
    <row r="16" spans="2:17" ht="15.75" x14ac:dyDescent="0.25">
      <c r="E16" s="2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66"/>
    </row>
    <row r="17" spans="5:17" ht="15.75" x14ac:dyDescent="0.25">
      <c r="E17" s="20" t="s">
        <v>19</v>
      </c>
      <c r="F17" s="16">
        <f>G17+H17+I17+J17+K17+L17+M17+N17+O17+P17+Q17</f>
        <v>26073423</v>
      </c>
      <c r="G17" s="16">
        <v>0</v>
      </c>
      <c r="H17" s="16">
        <v>2866289</v>
      </c>
      <c r="I17" s="16">
        <v>0</v>
      </c>
      <c r="J17" s="16">
        <v>8464762</v>
      </c>
      <c r="K17" s="16">
        <v>1734371</v>
      </c>
      <c r="L17" s="16">
        <v>179354</v>
      </c>
      <c r="M17" s="16">
        <v>381934</v>
      </c>
      <c r="N17" s="16">
        <v>9493795</v>
      </c>
      <c r="O17" s="16">
        <v>2861447</v>
      </c>
      <c r="P17" s="16">
        <v>0</v>
      </c>
      <c r="Q17" s="66">
        <v>91471</v>
      </c>
    </row>
    <row r="18" spans="5:17" ht="15.75" x14ac:dyDescent="0.25"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66"/>
    </row>
    <row r="19" spans="5:17" ht="15.75" x14ac:dyDescent="0.25">
      <c r="E19" s="20" t="s">
        <v>20</v>
      </c>
      <c r="F19" s="16">
        <f>G19+H19+I19+J19+K19+L19+M19+N19+O19+P19+Q19</f>
        <v>20868845</v>
      </c>
      <c r="G19" s="16">
        <v>0</v>
      </c>
      <c r="H19" s="16">
        <v>2990575</v>
      </c>
      <c r="I19" s="16">
        <v>0</v>
      </c>
      <c r="J19" s="16">
        <v>5414767</v>
      </c>
      <c r="K19" s="16">
        <v>2767702</v>
      </c>
      <c r="L19" s="16">
        <v>234280</v>
      </c>
      <c r="M19" s="16">
        <v>33958</v>
      </c>
      <c r="N19" s="16">
        <v>9427563</v>
      </c>
      <c r="O19" s="16">
        <v>0</v>
      </c>
      <c r="P19" s="16">
        <v>0</v>
      </c>
      <c r="Q19" s="66">
        <v>0</v>
      </c>
    </row>
    <row r="20" spans="5:17" ht="15.75" x14ac:dyDescent="0.25"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66"/>
    </row>
    <row r="21" spans="5:17" ht="15.75" x14ac:dyDescent="0.25">
      <c r="E21" s="20" t="s">
        <v>21</v>
      </c>
      <c r="F21" s="16">
        <f>G21+H21+I21+J21+K21+L21+M21+N21+O21+P21+Q21</f>
        <v>4224011</v>
      </c>
      <c r="G21" s="16">
        <v>0</v>
      </c>
      <c r="H21" s="16">
        <v>697080</v>
      </c>
      <c r="I21" s="16">
        <v>0</v>
      </c>
      <c r="J21" s="16">
        <v>1528114</v>
      </c>
      <c r="K21" s="16">
        <v>342808</v>
      </c>
      <c r="L21" s="16">
        <v>1656009</v>
      </c>
      <c r="M21" s="16">
        <v>0</v>
      </c>
      <c r="N21" s="16">
        <v>0</v>
      </c>
      <c r="O21" s="16">
        <v>0</v>
      </c>
      <c r="P21" s="16">
        <v>0</v>
      </c>
      <c r="Q21" s="66">
        <v>0</v>
      </c>
    </row>
    <row r="22" spans="5:17" ht="15.75" x14ac:dyDescent="0.25"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66"/>
    </row>
    <row r="23" spans="5:17" ht="15.75" x14ac:dyDescent="0.25">
      <c r="E23" s="20" t="s">
        <v>22</v>
      </c>
      <c r="F23" s="16">
        <f>G23+H23+I23+J23+K23+L23+M23+N23+O23+P23+Q23</f>
        <v>615583</v>
      </c>
      <c r="G23" s="16">
        <v>0</v>
      </c>
      <c r="H23" s="16">
        <v>29769</v>
      </c>
      <c r="I23" s="16">
        <v>0</v>
      </c>
      <c r="J23" s="16">
        <v>107211</v>
      </c>
      <c r="K23" s="16">
        <v>25891</v>
      </c>
      <c r="L23" s="16">
        <v>452712</v>
      </c>
      <c r="M23" s="16">
        <v>0</v>
      </c>
      <c r="N23" s="16">
        <v>0</v>
      </c>
      <c r="O23" s="16">
        <v>0</v>
      </c>
      <c r="P23" s="16">
        <v>0</v>
      </c>
      <c r="Q23" s="66">
        <v>0</v>
      </c>
    </row>
    <row r="24" spans="5:17" ht="15.75" x14ac:dyDescent="0.25">
      <c r="E24" s="2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66"/>
    </row>
    <row r="25" spans="5:17" ht="15.75" x14ac:dyDescent="0.25">
      <c r="E25" s="65" t="s">
        <v>3</v>
      </c>
      <c r="F25" s="16">
        <f>G25+H25+I25+J25+K25+L25+M25+N25+O25+P25+Q25</f>
        <v>323957258.75999999</v>
      </c>
      <c r="G25" s="16">
        <f t="shared" ref="G25:Q25" si="0">G7+G9+G11+G13+G15+G17+G19+G21+G23</f>
        <v>1013390</v>
      </c>
      <c r="H25" s="16">
        <f t="shared" si="0"/>
        <v>46793705</v>
      </c>
      <c r="I25" s="16">
        <f t="shared" si="0"/>
        <v>263.76</v>
      </c>
      <c r="J25" s="16">
        <f t="shared" si="0"/>
        <v>87549318</v>
      </c>
      <c r="K25" s="16">
        <f>K7+K9+K11+K13+K15+K17+K19+K21+K23</f>
        <v>27202640</v>
      </c>
      <c r="L25" s="16">
        <f t="shared" si="0"/>
        <v>17106344</v>
      </c>
      <c r="M25" s="16">
        <f t="shared" si="0"/>
        <v>19701090</v>
      </c>
      <c r="N25" s="16">
        <f t="shared" si="0"/>
        <v>102740342</v>
      </c>
      <c r="O25" s="16">
        <f t="shared" si="0"/>
        <v>21703349</v>
      </c>
      <c r="P25" s="16">
        <f>P7+P9+P11+P13+P15+P17+P19+P21+P23</f>
        <v>0</v>
      </c>
      <c r="Q25" s="66">
        <f t="shared" si="0"/>
        <v>146817</v>
      </c>
    </row>
    <row r="26" spans="5:17" ht="16.5" thickBot="1" x14ac:dyDescent="0.3"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67"/>
    </row>
    <row r="27" spans="5:17" ht="16.5" thickTop="1" x14ac:dyDescent="0.25"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7"/>
    </row>
    <row r="28" spans="5:17" ht="15.75" x14ac:dyDescent="0.25">
      <c r="E28" s="33" t="s">
        <v>23</v>
      </c>
      <c r="F28" s="34"/>
      <c r="G28" s="35"/>
      <c r="H28" s="35"/>
      <c r="I28" s="35"/>
      <c r="J28" s="35"/>
      <c r="K28" s="35"/>
      <c r="L28" s="35"/>
      <c r="M28" s="35"/>
      <c r="N28" s="35"/>
      <c r="O28" s="35"/>
    </row>
    <row r="29" spans="5:17" ht="15.75" x14ac:dyDescent="0.25">
      <c r="F29" s="34"/>
      <c r="G29" s="35"/>
      <c r="H29" s="35"/>
      <c r="I29" s="35"/>
      <c r="J29" s="35"/>
      <c r="K29" s="35"/>
      <c r="L29" s="35"/>
      <c r="M29" s="35"/>
      <c r="N29" s="35"/>
      <c r="O29" s="35"/>
    </row>
    <row r="30" spans="5:17" ht="15.75" x14ac:dyDescent="0.25">
      <c r="F30" s="34"/>
      <c r="G30" s="35"/>
      <c r="H30" s="35"/>
      <c r="I30" s="35"/>
      <c r="J30" s="35"/>
      <c r="K30" s="35"/>
      <c r="L30" s="35"/>
      <c r="M30" s="35"/>
      <c r="N30" s="35"/>
      <c r="O30" s="35"/>
    </row>
    <row r="31" spans="5:17" ht="15.75" x14ac:dyDescent="0.25">
      <c r="E31" s="2" t="s">
        <v>0</v>
      </c>
      <c r="F31" s="3"/>
      <c r="G31" s="3"/>
      <c r="H31" s="7"/>
      <c r="I31" s="3"/>
      <c r="J31" s="7"/>
      <c r="K31" s="7"/>
      <c r="L31" s="7"/>
      <c r="M31" s="7"/>
      <c r="N31" s="7"/>
      <c r="O31" s="7"/>
      <c r="P31" s="7"/>
    </row>
    <row r="32" spans="5:17" ht="15.75" x14ac:dyDescent="0.25">
      <c r="F32" s="36"/>
      <c r="G32" s="37"/>
      <c r="H32" s="38"/>
      <c r="I32" s="38"/>
      <c r="J32" s="39" t="s">
        <v>1</v>
      </c>
      <c r="K32" s="39"/>
      <c r="L32" s="38"/>
      <c r="M32" s="38"/>
      <c r="N32" s="38"/>
      <c r="O32" s="38"/>
      <c r="P32" s="38"/>
    </row>
    <row r="33" spans="5:17" ht="15.75" x14ac:dyDescent="0.25">
      <c r="E33" s="77">
        <v>2022</v>
      </c>
      <c r="F33" s="3"/>
      <c r="G33" s="3"/>
      <c r="H33" s="7"/>
      <c r="I33" s="3"/>
      <c r="J33" s="7"/>
      <c r="K33" s="7"/>
      <c r="L33" s="7"/>
      <c r="M33" s="7"/>
      <c r="N33" s="7"/>
      <c r="O33" s="7"/>
      <c r="P33" s="7"/>
    </row>
    <row r="34" spans="5:17" ht="16.5" thickBot="1" x14ac:dyDescent="0.3">
      <c r="F34" s="36"/>
      <c r="G34" s="38"/>
      <c r="H34" s="38"/>
      <c r="I34" s="38"/>
      <c r="J34" s="38"/>
      <c r="K34" s="38"/>
      <c r="L34" s="38"/>
      <c r="M34" s="38"/>
      <c r="N34" s="38"/>
      <c r="Q34" s="76" t="s">
        <v>54</v>
      </c>
    </row>
    <row r="35" spans="5:17" ht="15.95" customHeight="1" thickTop="1" x14ac:dyDescent="0.25">
      <c r="E35" s="41" t="s">
        <v>24</v>
      </c>
      <c r="F35" s="42" t="s">
        <v>3</v>
      </c>
      <c r="G35" s="62" t="s">
        <v>43</v>
      </c>
      <c r="H35" s="62" t="s">
        <v>40</v>
      </c>
      <c r="I35" s="43" t="s">
        <v>6</v>
      </c>
      <c r="J35" s="43" t="s">
        <v>61</v>
      </c>
      <c r="K35" s="12" t="s">
        <v>60</v>
      </c>
      <c r="L35" s="43" t="s">
        <v>8</v>
      </c>
      <c r="M35" s="43" t="s">
        <v>25</v>
      </c>
      <c r="N35" s="44" t="s">
        <v>10</v>
      </c>
      <c r="O35" s="12" t="s">
        <v>11</v>
      </c>
      <c r="P35" s="13" t="s">
        <v>59</v>
      </c>
      <c r="Q35" s="63" t="s">
        <v>56</v>
      </c>
    </row>
    <row r="36" spans="5:17" ht="15.95" customHeight="1" x14ac:dyDescent="0.25">
      <c r="E36" s="45"/>
      <c r="F36" s="46"/>
      <c r="G36" s="46"/>
      <c r="H36" s="46"/>
      <c r="I36" s="46"/>
      <c r="J36" s="46"/>
      <c r="K36" s="46"/>
      <c r="L36" s="46"/>
      <c r="M36" s="46"/>
      <c r="N36" s="78"/>
      <c r="O36" s="46"/>
      <c r="P36" s="78"/>
      <c r="Q36" s="79"/>
    </row>
    <row r="37" spans="5:17" ht="15.95" customHeight="1" x14ac:dyDescent="0.25">
      <c r="E37" s="45" t="s">
        <v>26</v>
      </c>
      <c r="F37" s="49">
        <f>SUM(G37:Q37)</f>
        <v>26398933</v>
      </c>
      <c r="G37" s="49">
        <v>82926</v>
      </c>
      <c r="H37" s="49">
        <v>3216730</v>
      </c>
      <c r="I37" s="49">
        <v>0</v>
      </c>
      <c r="J37" s="49">
        <v>6521680</v>
      </c>
      <c r="K37" s="49">
        <v>1731435</v>
      </c>
      <c r="L37" s="49">
        <v>1282378</v>
      </c>
      <c r="M37" s="80">
        <v>723335</v>
      </c>
      <c r="N37" s="80">
        <v>11163018</v>
      </c>
      <c r="O37" s="49">
        <v>1675407</v>
      </c>
      <c r="P37" s="83">
        <v>0</v>
      </c>
      <c r="Q37" s="81">
        <v>2024</v>
      </c>
    </row>
    <row r="38" spans="5:17" ht="15.95" customHeight="1" x14ac:dyDescent="0.25">
      <c r="E38" s="45" t="s">
        <v>27</v>
      </c>
      <c r="F38" s="49">
        <f>SUM(G38:Q38)</f>
        <v>24931644</v>
      </c>
      <c r="G38" s="49">
        <v>194616</v>
      </c>
      <c r="H38" s="49">
        <v>3506810</v>
      </c>
      <c r="I38" s="49">
        <v>0</v>
      </c>
      <c r="J38" s="49">
        <v>7280692</v>
      </c>
      <c r="K38" s="49">
        <v>2444909</v>
      </c>
      <c r="L38" s="49">
        <v>1339214</v>
      </c>
      <c r="M38" s="80">
        <v>1564745</v>
      </c>
      <c r="N38" s="80">
        <v>6811663</v>
      </c>
      <c r="O38" s="49">
        <v>1774724</v>
      </c>
      <c r="P38" s="83">
        <v>0</v>
      </c>
      <c r="Q38" s="81">
        <v>14271</v>
      </c>
    </row>
    <row r="39" spans="5:17" ht="15.95" customHeight="1" x14ac:dyDescent="0.25">
      <c r="E39" s="45" t="s">
        <v>28</v>
      </c>
      <c r="F39" s="49">
        <f>SUM(G39:Q39)</f>
        <v>26893283</v>
      </c>
      <c r="G39" s="49">
        <v>70118</v>
      </c>
      <c r="H39" s="49">
        <v>3577531</v>
      </c>
      <c r="I39" s="49">
        <v>0</v>
      </c>
      <c r="J39" s="49">
        <v>7514063</v>
      </c>
      <c r="K39" s="49">
        <v>2264551</v>
      </c>
      <c r="L39" s="49">
        <v>1218221</v>
      </c>
      <c r="M39" s="80">
        <v>1962461</v>
      </c>
      <c r="N39" s="80">
        <v>8105416</v>
      </c>
      <c r="O39" s="49">
        <v>2174830</v>
      </c>
      <c r="P39" s="83">
        <v>0</v>
      </c>
      <c r="Q39" s="81">
        <v>6092</v>
      </c>
    </row>
    <row r="40" spans="5:17" ht="15.95" customHeight="1" x14ac:dyDescent="0.25">
      <c r="E40" s="45"/>
      <c r="F40" s="49">
        <f t="shared" ref="F40:L40" si="1">F37+F38+F39</f>
        <v>78223860</v>
      </c>
      <c r="G40" s="49">
        <f t="shared" si="1"/>
        <v>347660</v>
      </c>
      <c r="H40" s="49">
        <f t="shared" si="1"/>
        <v>10301071</v>
      </c>
      <c r="I40" s="49">
        <f t="shared" si="1"/>
        <v>0</v>
      </c>
      <c r="J40" s="49">
        <f t="shared" si="1"/>
        <v>21316435</v>
      </c>
      <c r="K40" s="49">
        <f t="shared" si="1"/>
        <v>6440895</v>
      </c>
      <c r="L40" s="49">
        <f t="shared" si="1"/>
        <v>3839813</v>
      </c>
      <c r="M40" s="80">
        <f>SUM(M37:M39)</f>
        <v>4250541</v>
      </c>
      <c r="N40" s="80">
        <f>SUM(N37:N39)</f>
        <v>26080097</v>
      </c>
      <c r="O40" s="49">
        <f>O37+O38+O39</f>
        <v>5624961</v>
      </c>
      <c r="P40" s="49">
        <f>P37+P38+P39</f>
        <v>0</v>
      </c>
      <c r="Q40" s="81">
        <f>Q37+Q38+Q39</f>
        <v>22387</v>
      </c>
    </row>
    <row r="41" spans="5:17" ht="15.95" customHeight="1" x14ac:dyDescent="0.25">
      <c r="E41" s="45" t="s">
        <v>29</v>
      </c>
      <c r="F41" s="49">
        <f>SUM(G41:Q41)</f>
        <v>23347282</v>
      </c>
      <c r="G41" s="49">
        <v>20914</v>
      </c>
      <c r="H41" s="49">
        <v>3214846</v>
      </c>
      <c r="I41" s="49">
        <v>0</v>
      </c>
      <c r="J41" s="49">
        <v>6503004</v>
      </c>
      <c r="K41" s="49">
        <v>1774035</v>
      </c>
      <c r="L41" s="49">
        <v>1095152</v>
      </c>
      <c r="M41" s="80">
        <v>1691833</v>
      </c>
      <c r="N41" s="80">
        <v>6676951</v>
      </c>
      <c r="O41" s="49">
        <v>2370547</v>
      </c>
      <c r="P41" s="83">
        <v>0</v>
      </c>
      <c r="Q41" s="81">
        <v>0</v>
      </c>
    </row>
    <row r="42" spans="5:17" ht="15.95" customHeight="1" x14ac:dyDescent="0.25">
      <c r="E42" s="45" t="s">
        <v>30</v>
      </c>
      <c r="F42" s="49">
        <f>SUM(G42:Q42)</f>
        <v>29292984.759999998</v>
      </c>
      <c r="G42" s="49">
        <v>83948</v>
      </c>
      <c r="H42" s="49">
        <v>4011554</v>
      </c>
      <c r="I42" s="49">
        <v>263.76</v>
      </c>
      <c r="J42" s="49">
        <v>7603983</v>
      </c>
      <c r="K42" s="49">
        <v>2891571</v>
      </c>
      <c r="L42" s="49">
        <v>1269068</v>
      </c>
      <c r="M42" s="80">
        <v>2120554</v>
      </c>
      <c r="N42" s="80">
        <v>9417939</v>
      </c>
      <c r="O42" s="49">
        <v>1881627</v>
      </c>
      <c r="P42" s="83">
        <v>0</v>
      </c>
      <c r="Q42" s="81">
        <v>12477</v>
      </c>
    </row>
    <row r="43" spans="5:17" ht="15.95" customHeight="1" x14ac:dyDescent="0.25">
      <c r="E43" s="45" t="s">
        <v>31</v>
      </c>
      <c r="F43" s="49">
        <f>SUM(G43:Q43)</f>
        <v>26777621</v>
      </c>
      <c r="G43" s="49">
        <v>121832</v>
      </c>
      <c r="H43" s="49">
        <v>4295593</v>
      </c>
      <c r="I43" s="49">
        <v>0</v>
      </c>
      <c r="J43" s="49">
        <v>7915841</v>
      </c>
      <c r="K43" s="49">
        <v>2857581</v>
      </c>
      <c r="L43" s="49">
        <v>1368145</v>
      </c>
      <c r="M43" s="80">
        <v>1767930</v>
      </c>
      <c r="N43" s="80">
        <v>6966352</v>
      </c>
      <c r="O43" s="49">
        <v>1475574</v>
      </c>
      <c r="P43" s="83">
        <v>0</v>
      </c>
      <c r="Q43" s="81">
        <v>8773</v>
      </c>
    </row>
    <row r="44" spans="5:17" ht="15.95" customHeight="1" x14ac:dyDescent="0.25">
      <c r="E44" s="45"/>
      <c r="F44" s="49">
        <f t="shared" ref="F44:L44" si="2">F41+F42+F43</f>
        <v>79417887.75999999</v>
      </c>
      <c r="G44" s="49">
        <f t="shared" si="2"/>
        <v>226694</v>
      </c>
      <c r="H44" s="49">
        <f t="shared" si="2"/>
        <v>11521993</v>
      </c>
      <c r="I44" s="49">
        <f t="shared" si="2"/>
        <v>263.76</v>
      </c>
      <c r="J44" s="49">
        <f t="shared" si="2"/>
        <v>22022828</v>
      </c>
      <c r="K44" s="49">
        <f>K41+K42+K43</f>
        <v>7523187</v>
      </c>
      <c r="L44" s="49">
        <f t="shared" si="2"/>
        <v>3732365</v>
      </c>
      <c r="M44" s="80">
        <f>SUM(M41:M43)</f>
        <v>5580317</v>
      </c>
      <c r="N44" s="80">
        <f>SUM(N41:N43)</f>
        <v>23061242</v>
      </c>
      <c r="O44" s="49">
        <f>O41+O42+O43</f>
        <v>5727748</v>
      </c>
      <c r="P44" s="49">
        <f>P41+P42+P43</f>
        <v>0</v>
      </c>
      <c r="Q44" s="81">
        <f>Q41+Q42+Q43</f>
        <v>21250</v>
      </c>
    </row>
    <row r="45" spans="5:17" ht="15.95" customHeight="1" x14ac:dyDescent="0.25">
      <c r="E45" s="45" t="s">
        <v>32</v>
      </c>
      <c r="F45" s="49">
        <f>SUM(G45:Q45)</f>
        <v>27637281</v>
      </c>
      <c r="G45" s="49">
        <v>21332</v>
      </c>
      <c r="H45" s="49">
        <v>4233914</v>
      </c>
      <c r="I45" s="49">
        <v>0</v>
      </c>
      <c r="J45" s="49">
        <v>7388932</v>
      </c>
      <c r="K45" s="49">
        <v>1949333</v>
      </c>
      <c r="L45" s="49">
        <v>1770681</v>
      </c>
      <c r="M45" s="80">
        <v>1741896</v>
      </c>
      <c r="N45" s="80">
        <v>8778645</v>
      </c>
      <c r="O45" s="49">
        <v>1722918</v>
      </c>
      <c r="P45" s="83">
        <v>0</v>
      </c>
      <c r="Q45" s="81">
        <v>29630</v>
      </c>
    </row>
    <row r="46" spans="5:17" ht="15.95" customHeight="1" x14ac:dyDescent="0.25">
      <c r="E46" s="45" t="s">
        <v>41</v>
      </c>
      <c r="F46" s="49">
        <f>SUM(G46:Q46)</f>
        <v>32244383</v>
      </c>
      <c r="G46" s="49">
        <v>60046</v>
      </c>
      <c r="H46" s="49">
        <v>5058490</v>
      </c>
      <c r="I46" s="49">
        <v>0</v>
      </c>
      <c r="J46" s="49">
        <v>8072936</v>
      </c>
      <c r="K46" s="49">
        <v>2524297</v>
      </c>
      <c r="L46" s="49">
        <v>2128248</v>
      </c>
      <c r="M46" s="80">
        <v>1762861</v>
      </c>
      <c r="N46" s="80">
        <v>10903309</v>
      </c>
      <c r="O46" s="49">
        <v>1710990</v>
      </c>
      <c r="P46" s="83">
        <v>0</v>
      </c>
      <c r="Q46" s="81">
        <v>23206</v>
      </c>
    </row>
    <row r="47" spans="5:17" ht="15.95" customHeight="1" x14ac:dyDescent="0.25">
      <c r="E47" s="45" t="s">
        <v>34</v>
      </c>
      <c r="F47" s="49">
        <f>SUM(G47:Q47)</f>
        <v>31615500</v>
      </c>
      <c r="G47" s="49">
        <v>119803</v>
      </c>
      <c r="H47" s="49">
        <v>4708707</v>
      </c>
      <c r="I47" s="49">
        <v>0</v>
      </c>
      <c r="J47" s="49">
        <v>8954739</v>
      </c>
      <c r="K47" s="49">
        <v>3045730</v>
      </c>
      <c r="L47" s="49">
        <v>1749610</v>
      </c>
      <c r="M47" s="80">
        <v>1650033</v>
      </c>
      <c r="N47" s="80">
        <v>9635369</v>
      </c>
      <c r="O47" s="49">
        <v>1711055</v>
      </c>
      <c r="P47" s="83">
        <v>0</v>
      </c>
      <c r="Q47" s="81">
        <v>40454</v>
      </c>
    </row>
    <row r="48" spans="5:17" ht="15.95" customHeight="1" x14ac:dyDescent="0.25">
      <c r="E48" s="45"/>
      <c r="F48" s="49">
        <f t="shared" ref="F48:P48" si="3">F45+F46+F47</f>
        <v>91497164</v>
      </c>
      <c r="G48" s="49">
        <f t="shared" si="3"/>
        <v>201181</v>
      </c>
      <c r="H48" s="49">
        <f t="shared" si="3"/>
        <v>14001111</v>
      </c>
      <c r="I48" s="49">
        <f t="shared" si="3"/>
        <v>0</v>
      </c>
      <c r="J48" s="49">
        <f t="shared" si="3"/>
        <v>24416607</v>
      </c>
      <c r="K48" s="49">
        <f>K45+K46+K47</f>
        <v>7519360</v>
      </c>
      <c r="L48" s="49">
        <f t="shared" si="3"/>
        <v>5648539</v>
      </c>
      <c r="M48" s="80">
        <f>SUM(M45:M47)</f>
        <v>5154790</v>
      </c>
      <c r="N48" s="80">
        <f>SUM(N45:N47)</f>
        <v>29317323</v>
      </c>
      <c r="O48" s="49">
        <f t="shared" si="3"/>
        <v>5144963</v>
      </c>
      <c r="P48" s="49">
        <f t="shared" si="3"/>
        <v>0</v>
      </c>
      <c r="Q48" s="81">
        <f>Q45+Q46+Q47</f>
        <v>93290</v>
      </c>
    </row>
    <row r="49" spans="5:17" ht="15.95" customHeight="1" x14ac:dyDescent="0.25">
      <c r="E49" s="45" t="s">
        <v>35</v>
      </c>
      <c r="F49" s="49">
        <f>SUM(G49:Q49)</f>
        <v>25099276</v>
      </c>
      <c r="G49" s="49">
        <v>94659</v>
      </c>
      <c r="H49" s="49">
        <v>3783825</v>
      </c>
      <c r="I49" s="49">
        <v>0</v>
      </c>
      <c r="J49" s="49">
        <v>6346906</v>
      </c>
      <c r="K49" s="49">
        <v>2091705</v>
      </c>
      <c r="L49" s="49">
        <v>1451635</v>
      </c>
      <c r="M49" s="80">
        <v>1363111</v>
      </c>
      <c r="N49" s="80">
        <v>8246552</v>
      </c>
      <c r="O49" s="49">
        <v>1716901</v>
      </c>
      <c r="P49" s="83">
        <v>0</v>
      </c>
      <c r="Q49" s="81">
        <v>3982</v>
      </c>
    </row>
    <row r="50" spans="5:17" ht="15.95" customHeight="1" x14ac:dyDescent="0.25">
      <c r="E50" s="45" t="s">
        <v>36</v>
      </c>
      <c r="F50" s="49">
        <f>SUM(G50:Q50)</f>
        <v>27475428</v>
      </c>
      <c r="G50" s="49">
        <v>100044</v>
      </c>
      <c r="H50" s="49">
        <v>3907892</v>
      </c>
      <c r="I50" s="49">
        <v>0</v>
      </c>
      <c r="J50" s="49">
        <v>7830091</v>
      </c>
      <c r="K50" s="49">
        <v>2086691</v>
      </c>
      <c r="L50" s="49">
        <v>1064670</v>
      </c>
      <c r="M50" s="80">
        <v>1712118</v>
      </c>
      <c r="N50" s="80">
        <v>9001778</v>
      </c>
      <c r="O50" s="49">
        <v>1768166</v>
      </c>
      <c r="P50" s="83">
        <v>0</v>
      </c>
      <c r="Q50" s="81">
        <v>3978</v>
      </c>
    </row>
    <row r="51" spans="5:17" ht="15.95" customHeight="1" x14ac:dyDescent="0.25">
      <c r="E51" s="45" t="s">
        <v>37</v>
      </c>
      <c r="F51" s="49">
        <f>SUM(G51:Q51)</f>
        <v>22243643</v>
      </c>
      <c r="G51" s="49">
        <v>43152</v>
      </c>
      <c r="H51" s="49">
        <v>3277813</v>
      </c>
      <c r="I51" s="49">
        <v>0</v>
      </c>
      <c r="J51" s="49">
        <v>5616451</v>
      </c>
      <c r="K51" s="49">
        <v>1540802</v>
      </c>
      <c r="L51" s="49">
        <v>1369322</v>
      </c>
      <c r="M51" s="80">
        <v>1640213</v>
      </c>
      <c r="N51" s="80">
        <v>7033350</v>
      </c>
      <c r="O51" s="49">
        <v>1720610</v>
      </c>
      <c r="P51" s="83">
        <v>0</v>
      </c>
      <c r="Q51" s="81">
        <v>1930</v>
      </c>
    </row>
    <row r="52" spans="5:17" ht="15.95" customHeight="1" x14ac:dyDescent="0.25">
      <c r="E52" s="45"/>
      <c r="F52" s="49">
        <f t="shared" ref="F52:P52" si="4">F49+F50+F51</f>
        <v>74818347</v>
      </c>
      <c r="G52" s="49">
        <f t="shared" si="4"/>
        <v>237855</v>
      </c>
      <c r="H52" s="49">
        <f t="shared" si="4"/>
        <v>10969530</v>
      </c>
      <c r="I52" s="49">
        <f t="shared" si="4"/>
        <v>0</v>
      </c>
      <c r="J52" s="49">
        <f t="shared" si="4"/>
        <v>19793448</v>
      </c>
      <c r="K52" s="49">
        <f>K49+K50+K51</f>
        <v>5719198</v>
      </c>
      <c r="L52" s="49">
        <f t="shared" si="4"/>
        <v>3885627</v>
      </c>
      <c r="M52" s="80">
        <f>SUM(M49:M51)</f>
        <v>4715442</v>
      </c>
      <c r="N52" s="82">
        <f>SUM(N49:N51)</f>
        <v>24281680</v>
      </c>
      <c r="O52" s="49">
        <f t="shared" si="4"/>
        <v>5205677</v>
      </c>
      <c r="P52" s="49">
        <f t="shared" si="4"/>
        <v>0</v>
      </c>
      <c r="Q52" s="81">
        <f>Q49+Q50+Q51</f>
        <v>9890</v>
      </c>
    </row>
    <row r="53" spans="5:17" ht="15.95" customHeight="1" x14ac:dyDescent="0.25">
      <c r="E53" s="70" t="s">
        <v>38</v>
      </c>
      <c r="F53" s="49">
        <f t="shared" ref="F53:P53" si="5">F37+F38+F39+F41+F42+F43+F45+F46+F47+F49+F50+F51</f>
        <v>323957258.75999999</v>
      </c>
      <c r="G53" s="49">
        <f t="shared" si="5"/>
        <v>1013390</v>
      </c>
      <c r="H53" s="49">
        <f t="shared" si="5"/>
        <v>46793705</v>
      </c>
      <c r="I53" s="49">
        <f t="shared" si="5"/>
        <v>263.76</v>
      </c>
      <c r="J53" s="49">
        <f t="shared" si="5"/>
        <v>87549318</v>
      </c>
      <c r="K53" s="49">
        <f>K37+K38+K39+K41+K42+K43+K45+K46+K47+K49+K50+K51</f>
        <v>27202640</v>
      </c>
      <c r="L53" s="49">
        <f t="shared" si="5"/>
        <v>17106344</v>
      </c>
      <c r="M53" s="49">
        <f t="shared" si="5"/>
        <v>19701090</v>
      </c>
      <c r="N53" s="83">
        <f t="shared" si="5"/>
        <v>102740342</v>
      </c>
      <c r="O53" s="49">
        <f t="shared" si="5"/>
        <v>21703349</v>
      </c>
      <c r="P53" s="49">
        <f t="shared" si="5"/>
        <v>0</v>
      </c>
      <c r="Q53" s="81">
        <f>Q37+Q38+Q39+Q41+Q42+Q43+Q45+Q46+Q47+Q49+Q50+Q51</f>
        <v>146817</v>
      </c>
    </row>
    <row r="54" spans="5:17" ht="15.95" customHeight="1" thickBot="1" x14ac:dyDescent="0.3">
      <c r="E54" s="58"/>
      <c r="F54" s="26"/>
      <c r="G54" s="27"/>
      <c r="H54" s="27"/>
      <c r="I54" s="27"/>
      <c r="J54" s="27"/>
      <c r="K54" s="27"/>
      <c r="L54" s="27"/>
      <c r="M54" s="27"/>
      <c r="N54" s="28"/>
      <c r="O54" s="27"/>
      <c r="P54" s="28"/>
      <c r="Q54" s="67"/>
    </row>
    <row r="55" spans="5:17" ht="16.5" thickTop="1" x14ac:dyDescent="0.25">
      <c r="F55" s="59"/>
      <c r="G55" s="60"/>
      <c r="H55" s="60"/>
      <c r="I55" s="60"/>
      <c r="J55" s="60"/>
      <c r="K55" s="60"/>
      <c r="L55" s="60"/>
      <c r="M55" s="60"/>
      <c r="N55" s="60"/>
      <c r="O55" s="60"/>
      <c r="P55" s="37"/>
    </row>
    <row r="56" spans="5:17" ht="15.75" x14ac:dyDescent="0.25">
      <c r="E56" s="33" t="s">
        <v>23</v>
      </c>
      <c r="F56" s="59"/>
      <c r="G56" s="60"/>
      <c r="H56" s="60"/>
      <c r="I56" s="60"/>
      <c r="J56" s="60"/>
      <c r="K56" s="60"/>
      <c r="L56" s="60"/>
      <c r="M56" s="60"/>
      <c r="N56" s="60"/>
      <c r="O56" s="60"/>
      <c r="P56" s="37"/>
    </row>
    <row r="57" spans="5:17" ht="15.75" x14ac:dyDescent="0.25">
      <c r="E57" s="61"/>
      <c r="F57" s="59"/>
      <c r="G57" s="60"/>
      <c r="H57" s="60"/>
      <c r="I57" s="60"/>
      <c r="J57" s="60"/>
      <c r="K57" s="60"/>
      <c r="L57" s="60"/>
      <c r="M57" s="60"/>
      <c r="N57" s="60"/>
      <c r="O57" s="60"/>
      <c r="P57" s="37"/>
    </row>
    <row r="58" spans="5:17" ht="15.75" x14ac:dyDescent="0.25">
      <c r="F58" s="59"/>
      <c r="G58" s="60"/>
      <c r="H58" s="60"/>
      <c r="I58" s="60"/>
      <c r="J58" s="60"/>
      <c r="K58" s="60"/>
      <c r="L58" s="60"/>
      <c r="M58" s="60"/>
      <c r="N58" s="60"/>
      <c r="O58" s="60"/>
    </row>
    <row r="59" spans="5:17" ht="15.75" x14ac:dyDescent="0.25">
      <c r="F59" s="59"/>
      <c r="G59" s="60"/>
      <c r="H59" s="60"/>
      <c r="I59" s="60"/>
      <c r="J59" s="60"/>
      <c r="K59" s="60"/>
      <c r="L59" s="60"/>
      <c r="M59" s="60"/>
      <c r="N59" s="60"/>
      <c r="O59" s="60"/>
    </row>
    <row r="60" spans="5:17" ht="15.75" x14ac:dyDescent="0.25">
      <c r="F60" s="59"/>
      <c r="G60" s="60"/>
      <c r="H60" s="60"/>
      <c r="I60" s="60"/>
      <c r="J60" s="60"/>
      <c r="K60" s="60"/>
      <c r="L60" s="60"/>
      <c r="M60" s="60"/>
      <c r="N60" s="60"/>
      <c r="O60" s="60"/>
    </row>
    <row r="61" spans="5:17" ht="15.75" x14ac:dyDescent="0.25">
      <c r="F61" s="59"/>
      <c r="G61" s="60"/>
      <c r="H61" s="60"/>
      <c r="I61" s="60"/>
      <c r="J61" s="60"/>
      <c r="K61" s="60"/>
      <c r="L61" s="60"/>
      <c r="M61" s="60"/>
      <c r="N61" s="60"/>
      <c r="O61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D3" transitionEvaluation="1"/>
  <dimension ref="A1:O432"/>
  <sheetViews>
    <sheetView showGridLines="0" topLeftCell="D3" workbookViewId="0">
      <selection activeCell="G26" sqref="G26:O26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15.28515625" style="1" customWidth="1"/>
    <col min="11" max="11" width="14.5703125" style="1" customWidth="1"/>
    <col min="12" max="12" width="15" style="1" customWidth="1"/>
    <col min="13" max="13" width="14.5703125" style="1" customWidth="1"/>
    <col min="14" max="14" width="14.28515625" style="1" customWidth="1"/>
    <col min="15" max="15" width="13.5703125" style="1" customWidth="1"/>
    <col min="16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15.28515625" style="1" customWidth="1"/>
    <col min="267" max="267" width="14.5703125" style="1" customWidth="1"/>
    <col min="268" max="268" width="15" style="1" customWidth="1"/>
    <col min="269" max="269" width="14.5703125" style="1" customWidth="1"/>
    <col min="270" max="270" width="14.28515625" style="1" customWidth="1"/>
    <col min="271" max="271" width="13.5703125" style="1" customWidth="1"/>
    <col min="272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15.28515625" style="1" customWidth="1"/>
    <col min="523" max="523" width="14.5703125" style="1" customWidth="1"/>
    <col min="524" max="524" width="15" style="1" customWidth="1"/>
    <col min="525" max="525" width="14.5703125" style="1" customWidth="1"/>
    <col min="526" max="526" width="14.28515625" style="1" customWidth="1"/>
    <col min="527" max="527" width="13.5703125" style="1" customWidth="1"/>
    <col min="528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15.28515625" style="1" customWidth="1"/>
    <col min="779" max="779" width="14.5703125" style="1" customWidth="1"/>
    <col min="780" max="780" width="15" style="1" customWidth="1"/>
    <col min="781" max="781" width="14.5703125" style="1" customWidth="1"/>
    <col min="782" max="782" width="14.28515625" style="1" customWidth="1"/>
    <col min="783" max="783" width="13.5703125" style="1" customWidth="1"/>
    <col min="784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15.28515625" style="1" customWidth="1"/>
    <col min="1035" max="1035" width="14.5703125" style="1" customWidth="1"/>
    <col min="1036" max="1036" width="15" style="1" customWidth="1"/>
    <col min="1037" max="1037" width="14.5703125" style="1" customWidth="1"/>
    <col min="1038" max="1038" width="14.28515625" style="1" customWidth="1"/>
    <col min="1039" max="1039" width="13.5703125" style="1" customWidth="1"/>
    <col min="1040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15.28515625" style="1" customWidth="1"/>
    <col min="1291" max="1291" width="14.5703125" style="1" customWidth="1"/>
    <col min="1292" max="1292" width="15" style="1" customWidth="1"/>
    <col min="1293" max="1293" width="14.5703125" style="1" customWidth="1"/>
    <col min="1294" max="1294" width="14.28515625" style="1" customWidth="1"/>
    <col min="1295" max="1295" width="13.5703125" style="1" customWidth="1"/>
    <col min="1296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15.28515625" style="1" customWidth="1"/>
    <col min="1547" max="1547" width="14.5703125" style="1" customWidth="1"/>
    <col min="1548" max="1548" width="15" style="1" customWidth="1"/>
    <col min="1549" max="1549" width="14.5703125" style="1" customWidth="1"/>
    <col min="1550" max="1550" width="14.28515625" style="1" customWidth="1"/>
    <col min="1551" max="1551" width="13.5703125" style="1" customWidth="1"/>
    <col min="1552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15.28515625" style="1" customWidth="1"/>
    <col min="1803" max="1803" width="14.5703125" style="1" customWidth="1"/>
    <col min="1804" max="1804" width="15" style="1" customWidth="1"/>
    <col min="1805" max="1805" width="14.5703125" style="1" customWidth="1"/>
    <col min="1806" max="1806" width="14.28515625" style="1" customWidth="1"/>
    <col min="1807" max="1807" width="13.5703125" style="1" customWidth="1"/>
    <col min="1808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15.28515625" style="1" customWidth="1"/>
    <col min="2059" max="2059" width="14.5703125" style="1" customWidth="1"/>
    <col min="2060" max="2060" width="15" style="1" customWidth="1"/>
    <col min="2061" max="2061" width="14.5703125" style="1" customWidth="1"/>
    <col min="2062" max="2062" width="14.28515625" style="1" customWidth="1"/>
    <col min="2063" max="2063" width="13.5703125" style="1" customWidth="1"/>
    <col min="2064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15.28515625" style="1" customWidth="1"/>
    <col min="2315" max="2315" width="14.5703125" style="1" customWidth="1"/>
    <col min="2316" max="2316" width="15" style="1" customWidth="1"/>
    <col min="2317" max="2317" width="14.5703125" style="1" customWidth="1"/>
    <col min="2318" max="2318" width="14.28515625" style="1" customWidth="1"/>
    <col min="2319" max="2319" width="13.5703125" style="1" customWidth="1"/>
    <col min="2320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15.28515625" style="1" customWidth="1"/>
    <col min="2571" max="2571" width="14.5703125" style="1" customWidth="1"/>
    <col min="2572" max="2572" width="15" style="1" customWidth="1"/>
    <col min="2573" max="2573" width="14.5703125" style="1" customWidth="1"/>
    <col min="2574" max="2574" width="14.28515625" style="1" customWidth="1"/>
    <col min="2575" max="2575" width="13.5703125" style="1" customWidth="1"/>
    <col min="2576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15.28515625" style="1" customWidth="1"/>
    <col min="2827" max="2827" width="14.5703125" style="1" customWidth="1"/>
    <col min="2828" max="2828" width="15" style="1" customWidth="1"/>
    <col min="2829" max="2829" width="14.5703125" style="1" customWidth="1"/>
    <col min="2830" max="2830" width="14.28515625" style="1" customWidth="1"/>
    <col min="2831" max="2831" width="13.5703125" style="1" customWidth="1"/>
    <col min="2832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15.28515625" style="1" customWidth="1"/>
    <col min="3083" max="3083" width="14.5703125" style="1" customWidth="1"/>
    <col min="3084" max="3084" width="15" style="1" customWidth="1"/>
    <col min="3085" max="3085" width="14.5703125" style="1" customWidth="1"/>
    <col min="3086" max="3086" width="14.28515625" style="1" customWidth="1"/>
    <col min="3087" max="3087" width="13.5703125" style="1" customWidth="1"/>
    <col min="3088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15.28515625" style="1" customWidth="1"/>
    <col min="3339" max="3339" width="14.5703125" style="1" customWidth="1"/>
    <col min="3340" max="3340" width="15" style="1" customWidth="1"/>
    <col min="3341" max="3341" width="14.5703125" style="1" customWidth="1"/>
    <col min="3342" max="3342" width="14.28515625" style="1" customWidth="1"/>
    <col min="3343" max="3343" width="13.5703125" style="1" customWidth="1"/>
    <col min="3344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15.28515625" style="1" customWidth="1"/>
    <col min="3595" max="3595" width="14.5703125" style="1" customWidth="1"/>
    <col min="3596" max="3596" width="15" style="1" customWidth="1"/>
    <col min="3597" max="3597" width="14.5703125" style="1" customWidth="1"/>
    <col min="3598" max="3598" width="14.28515625" style="1" customWidth="1"/>
    <col min="3599" max="3599" width="13.5703125" style="1" customWidth="1"/>
    <col min="3600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15.28515625" style="1" customWidth="1"/>
    <col min="3851" max="3851" width="14.5703125" style="1" customWidth="1"/>
    <col min="3852" max="3852" width="15" style="1" customWidth="1"/>
    <col min="3853" max="3853" width="14.5703125" style="1" customWidth="1"/>
    <col min="3854" max="3854" width="14.28515625" style="1" customWidth="1"/>
    <col min="3855" max="3855" width="13.5703125" style="1" customWidth="1"/>
    <col min="3856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15.28515625" style="1" customWidth="1"/>
    <col min="4107" max="4107" width="14.5703125" style="1" customWidth="1"/>
    <col min="4108" max="4108" width="15" style="1" customWidth="1"/>
    <col min="4109" max="4109" width="14.5703125" style="1" customWidth="1"/>
    <col min="4110" max="4110" width="14.28515625" style="1" customWidth="1"/>
    <col min="4111" max="4111" width="13.5703125" style="1" customWidth="1"/>
    <col min="4112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15.28515625" style="1" customWidth="1"/>
    <col min="4363" max="4363" width="14.5703125" style="1" customWidth="1"/>
    <col min="4364" max="4364" width="15" style="1" customWidth="1"/>
    <col min="4365" max="4365" width="14.5703125" style="1" customWidth="1"/>
    <col min="4366" max="4366" width="14.28515625" style="1" customWidth="1"/>
    <col min="4367" max="4367" width="13.5703125" style="1" customWidth="1"/>
    <col min="4368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15.28515625" style="1" customWidth="1"/>
    <col min="4619" max="4619" width="14.5703125" style="1" customWidth="1"/>
    <col min="4620" max="4620" width="15" style="1" customWidth="1"/>
    <col min="4621" max="4621" width="14.5703125" style="1" customWidth="1"/>
    <col min="4622" max="4622" width="14.28515625" style="1" customWidth="1"/>
    <col min="4623" max="4623" width="13.5703125" style="1" customWidth="1"/>
    <col min="4624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15.28515625" style="1" customWidth="1"/>
    <col min="4875" max="4875" width="14.5703125" style="1" customWidth="1"/>
    <col min="4876" max="4876" width="15" style="1" customWidth="1"/>
    <col min="4877" max="4877" width="14.5703125" style="1" customWidth="1"/>
    <col min="4878" max="4878" width="14.28515625" style="1" customWidth="1"/>
    <col min="4879" max="4879" width="13.5703125" style="1" customWidth="1"/>
    <col min="4880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15.28515625" style="1" customWidth="1"/>
    <col min="5131" max="5131" width="14.5703125" style="1" customWidth="1"/>
    <col min="5132" max="5132" width="15" style="1" customWidth="1"/>
    <col min="5133" max="5133" width="14.5703125" style="1" customWidth="1"/>
    <col min="5134" max="5134" width="14.28515625" style="1" customWidth="1"/>
    <col min="5135" max="5135" width="13.5703125" style="1" customWidth="1"/>
    <col min="5136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15.28515625" style="1" customWidth="1"/>
    <col min="5387" max="5387" width="14.5703125" style="1" customWidth="1"/>
    <col min="5388" max="5388" width="15" style="1" customWidth="1"/>
    <col min="5389" max="5389" width="14.5703125" style="1" customWidth="1"/>
    <col min="5390" max="5390" width="14.28515625" style="1" customWidth="1"/>
    <col min="5391" max="5391" width="13.5703125" style="1" customWidth="1"/>
    <col min="5392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15.28515625" style="1" customWidth="1"/>
    <col min="5643" max="5643" width="14.5703125" style="1" customWidth="1"/>
    <col min="5644" max="5644" width="15" style="1" customWidth="1"/>
    <col min="5645" max="5645" width="14.5703125" style="1" customWidth="1"/>
    <col min="5646" max="5646" width="14.28515625" style="1" customWidth="1"/>
    <col min="5647" max="5647" width="13.5703125" style="1" customWidth="1"/>
    <col min="5648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15.28515625" style="1" customWidth="1"/>
    <col min="5899" max="5899" width="14.5703125" style="1" customWidth="1"/>
    <col min="5900" max="5900" width="15" style="1" customWidth="1"/>
    <col min="5901" max="5901" width="14.5703125" style="1" customWidth="1"/>
    <col min="5902" max="5902" width="14.28515625" style="1" customWidth="1"/>
    <col min="5903" max="5903" width="13.5703125" style="1" customWidth="1"/>
    <col min="5904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15.28515625" style="1" customWidth="1"/>
    <col min="6155" max="6155" width="14.5703125" style="1" customWidth="1"/>
    <col min="6156" max="6156" width="15" style="1" customWidth="1"/>
    <col min="6157" max="6157" width="14.5703125" style="1" customWidth="1"/>
    <col min="6158" max="6158" width="14.28515625" style="1" customWidth="1"/>
    <col min="6159" max="6159" width="13.5703125" style="1" customWidth="1"/>
    <col min="6160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15.28515625" style="1" customWidth="1"/>
    <col min="6411" max="6411" width="14.5703125" style="1" customWidth="1"/>
    <col min="6412" max="6412" width="15" style="1" customWidth="1"/>
    <col min="6413" max="6413" width="14.5703125" style="1" customWidth="1"/>
    <col min="6414" max="6414" width="14.28515625" style="1" customWidth="1"/>
    <col min="6415" max="6415" width="13.5703125" style="1" customWidth="1"/>
    <col min="6416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15.28515625" style="1" customWidth="1"/>
    <col min="6667" max="6667" width="14.5703125" style="1" customWidth="1"/>
    <col min="6668" max="6668" width="15" style="1" customWidth="1"/>
    <col min="6669" max="6669" width="14.5703125" style="1" customWidth="1"/>
    <col min="6670" max="6670" width="14.28515625" style="1" customWidth="1"/>
    <col min="6671" max="6671" width="13.5703125" style="1" customWidth="1"/>
    <col min="6672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15.28515625" style="1" customWidth="1"/>
    <col min="6923" max="6923" width="14.5703125" style="1" customWidth="1"/>
    <col min="6924" max="6924" width="15" style="1" customWidth="1"/>
    <col min="6925" max="6925" width="14.5703125" style="1" customWidth="1"/>
    <col min="6926" max="6926" width="14.28515625" style="1" customWidth="1"/>
    <col min="6927" max="6927" width="13.5703125" style="1" customWidth="1"/>
    <col min="6928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15.28515625" style="1" customWidth="1"/>
    <col min="7179" max="7179" width="14.5703125" style="1" customWidth="1"/>
    <col min="7180" max="7180" width="15" style="1" customWidth="1"/>
    <col min="7181" max="7181" width="14.5703125" style="1" customWidth="1"/>
    <col min="7182" max="7182" width="14.28515625" style="1" customWidth="1"/>
    <col min="7183" max="7183" width="13.5703125" style="1" customWidth="1"/>
    <col min="7184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15.28515625" style="1" customWidth="1"/>
    <col min="7435" max="7435" width="14.5703125" style="1" customWidth="1"/>
    <col min="7436" max="7436" width="15" style="1" customWidth="1"/>
    <col min="7437" max="7437" width="14.5703125" style="1" customWidth="1"/>
    <col min="7438" max="7438" width="14.28515625" style="1" customWidth="1"/>
    <col min="7439" max="7439" width="13.5703125" style="1" customWidth="1"/>
    <col min="7440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15.28515625" style="1" customWidth="1"/>
    <col min="7691" max="7691" width="14.5703125" style="1" customWidth="1"/>
    <col min="7692" max="7692" width="15" style="1" customWidth="1"/>
    <col min="7693" max="7693" width="14.5703125" style="1" customWidth="1"/>
    <col min="7694" max="7694" width="14.28515625" style="1" customWidth="1"/>
    <col min="7695" max="7695" width="13.5703125" style="1" customWidth="1"/>
    <col min="7696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15.28515625" style="1" customWidth="1"/>
    <col min="7947" max="7947" width="14.5703125" style="1" customWidth="1"/>
    <col min="7948" max="7948" width="15" style="1" customWidth="1"/>
    <col min="7949" max="7949" width="14.5703125" style="1" customWidth="1"/>
    <col min="7950" max="7950" width="14.28515625" style="1" customWidth="1"/>
    <col min="7951" max="7951" width="13.5703125" style="1" customWidth="1"/>
    <col min="7952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15.28515625" style="1" customWidth="1"/>
    <col min="8203" max="8203" width="14.5703125" style="1" customWidth="1"/>
    <col min="8204" max="8204" width="15" style="1" customWidth="1"/>
    <col min="8205" max="8205" width="14.5703125" style="1" customWidth="1"/>
    <col min="8206" max="8206" width="14.28515625" style="1" customWidth="1"/>
    <col min="8207" max="8207" width="13.5703125" style="1" customWidth="1"/>
    <col min="8208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15.28515625" style="1" customWidth="1"/>
    <col min="8459" max="8459" width="14.5703125" style="1" customWidth="1"/>
    <col min="8460" max="8460" width="15" style="1" customWidth="1"/>
    <col min="8461" max="8461" width="14.5703125" style="1" customWidth="1"/>
    <col min="8462" max="8462" width="14.28515625" style="1" customWidth="1"/>
    <col min="8463" max="8463" width="13.5703125" style="1" customWidth="1"/>
    <col min="8464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15.28515625" style="1" customWidth="1"/>
    <col min="8715" max="8715" width="14.5703125" style="1" customWidth="1"/>
    <col min="8716" max="8716" width="15" style="1" customWidth="1"/>
    <col min="8717" max="8717" width="14.5703125" style="1" customWidth="1"/>
    <col min="8718" max="8718" width="14.28515625" style="1" customWidth="1"/>
    <col min="8719" max="8719" width="13.5703125" style="1" customWidth="1"/>
    <col min="8720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15.28515625" style="1" customWidth="1"/>
    <col min="8971" max="8971" width="14.5703125" style="1" customWidth="1"/>
    <col min="8972" max="8972" width="15" style="1" customWidth="1"/>
    <col min="8973" max="8973" width="14.5703125" style="1" customWidth="1"/>
    <col min="8974" max="8974" width="14.28515625" style="1" customWidth="1"/>
    <col min="8975" max="8975" width="13.5703125" style="1" customWidth="1"/>
    <col min="8976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15.28515625" style="1" customWidth="1"/>
    <col min="9227" max="9227" width="14.5703125" style="1" customWidth="1"/>
    <col min="9228" max="9228" width="15" style="1" customWidth="1"/>
    <col min="9229" max="9229" width="14.5703125" style="1" customWidth="1"/>
    <col min="9230" max="9230" width="14.28515625" style="1" customWidth="1"/>
    <col min="9231" max="9231" width="13.5703125" style="1" customWidth="1"/>
    <col min="9232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15.28515625" style="1" customWidth="1"/>
    <col min="9483" max="9483" width="14.5703125" style="1" customWidth="1"/>
    <col min="9484" max="9484" width="15" style="1" customWidth="1"/>
    <col min="9485" max="9485" width="14.5703125" style="1" customWidth="1"/>
    <col min="9486" max="9486" width="14.28515625" style="1" customWidth="1"/>
    <col min="9487" max="9487" width="13.5703125" style="1" customWidth="1"/>
    <col min="9488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15.28515625" style="1" customWidth="1"/>
    <col min="9739" max="9739" width="14.5703125" style="1" customWidth="1"/>
    <col min="9740" max="9740" width="15" style="1" customWidth="1"/>
    <col min="9741" max="9741" width="14.5703125" style="1" customWidth="1"/>
    <col min="9742" max="9742" width="14.28515625" style="1" customWidth="1"/>
    <col min="9743" max="9743" width="13.5703125" style="1" customWidth="1"/>
    <col min="9744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15.28515625" style="1" customWidth="1"/>
    <col min="9995" max="9995" width="14.5703125" style="1" customWidth="1"/>
    <col min="9996" max="9996" width="15" style="1" customWidth="1"/>
    <col min="9997" max="9997" width="14.5703125" style="1" customWidth="1"/>
    <col min="9998" max="9998" width="14.28515625" style="1" customWidth="1"/>
    <col min="9999" max="9999" width="13.5703125" style="1" customWidth="1"/>
    <col min="10000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15.28515625" style="1" customWidth="1"/>
    <col min="10251" max="10251" width="14.5703125" style="1" customWidth="1"/>
    <col min="10252" max="10252" width="15" style="1" customWidth="1"/>
    <col min="10253" max="10253" width="14.5703125" style="1" customWidth="1"/>
    <col min="10254" max="10254" width="14.28515625" style="1" customWidth="1"/>
    <col min="10255" max="10255" width="13.5703125" style="1" customWidth="1"/>
    <col min="10256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15.28515625" style="1" customWidth="1"/>
    <col min="10507" max="10507" width="14.5703125" style="1" customWidth="1"/>
    <col min="10508" max="10508" width="15" style="1" customWidth="1"/>
    <col min="10509" max="10509" width="14.5703125" style="1" customWidth="1"/>
    <col min="10510" max="10510" width="14.28515625" style="1" customWidth="1"/>
    <col min="10511" max="10511" width="13.5703125" style="1" customWidth="1"/>
    <col min="10512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15.28515625" style="1" customWidth="1"/>
    <col min="10763" max="10763" width="14.5703125" style="1" customWidth="1"/>
    <col min="10764" max="10764" width="15" style="1" customWidth="1"/>
    <col min="10765" max="10765" width="14.5703125" style="1" customWidth="1"/>
    <col min="10766" max="10766" width="14.28515625" style="1" customWidth="1"/>
    <col min="10767" max="10767" width="13.5703125" style="1" customWidth="1"/>
    <col min="10768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15.28515625" style="1" customWidth="1"/>
    <col min="11019" max="11019" width="14.5703125" style="1" customWidth="1"/>
    <col min="11020" max="11020" width="15" style="1" customWidth="1"/>
    <col min="11021" max="11021" width="14.5703125" style="1" customWidth="1"/>
    <col min="11022" max="11022" width="14.28515625" style="1" customWidth="1"/>
    <col min="11023" max="11023" width="13.5703125" style="1" customWidth="1"/>
    <col min="11024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15.28515625" style="1" customWidth="1"/>
    <col min="11275" max="11275" width="14.5703125" style="1" customWidth="1"/>
    <col min="11276" max="11276" width="15" style="1" customWidth="1"/>
    <col min="11277" max="11277" width="14.5703125" style="1" customWidth="1"/>
    <col min="11278" max="11278" width="14.28515625" style="1" customWidth="1"/>
    <col min="11279" max="11279" width="13.5703125" style="1" customWidth="1"/>
    <col min="11280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15.28515625" style="1" customWidth="1"/>
    <col min="11531" max="11531" width="14.5703125" style="1" customWidth="1"/>
    <col min="11532" max="11532" width="15" style="1" customWidth="1"/>
    <col min="11533" max="11533" width="14.5703125" style="1" customWidth="1"/>
    <col min="11534" max="11534" width="14.28515625" style="1" customWidth="1"/>
    <col min="11535" max="11535" width="13.5703125" style="1" customWidth="1"/>
    <col min="11536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15.28515625" style="1" customWidth="1"/>
    <col min="11787" max="11787" width="14.5703125" style="1" customWidth="1"/>
    <col min="11788" max="11788" width="15" style="1" customWidth="1"/>
    <col min="11789" max="11789" width="14.5703125" style="1" customWidth="1"/>
    <col min="11790" max="11790" width="14.28515625" style="1" customWidth="1"/>
    <col min="11791" max="11791" width="13.5703125" style="1" customWidth="1"/>
    <col min="11792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15.28515625" style="1" customWidth="1"/>
    <col min="12043" max="12043" width="14.5703125" style="1" customWidth="1"/>
    <col min="12044" max="12044" width="15" style="1" customWidth="1"/>
    <col min="12045" max="12045" width="14.5703125" style="1" customWidth="1"/>
    <col min="12046" max="12046" width="14.28515625" style="1" customWidth="1"/>
    <col min="12047" max="12047" width="13.5703125" style="1" customWidth="1"/>
    <col min="12048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15.28515625" style="1" customWidth="1"/>
    <col min="12299" max="12299" width="14.5703125" style="1" customWidth="1"/>
    <col min="12300" max="12300" width="15" style="1" customWidth="1"/>
    <col min="12301" max="12301" width="14.5703125" style="1" customWidth="1"/>
    <col min="12302" max="12302" width="14.28515625" style="1" customWidth="1"/>
    <col min="12303" max="12303" width="13.5703125" style="1" customWidth="1"/>
    <col min="12304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15.28515625" style="1" customWidth="1"/>
    <col min="12555" max="12555" width="14.5703125" style="1" customWidth="1"/>
    <col min="12556" max="12556" width="15" style="1" customWidth="1"/>
    <col min="12557" max="12557" width="14.5703125" style="1" customWidth="1"/>
    <col min="12558" max="12558" width="14.28515625" style="1" customWidth="1"/>
    <col min="12559" max="12559" width="13.5703125" style="1" customWidth="1"/>
    <col min="12560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15.28515625" style="1" customWidth="1"/>
    <col min="12811" max="12811" width="14.5703125" style="1" customWidth="1"/>
    <col min="12812" max="12812" width="15" style="1" customWidth="1"/>
    <col min="12813" max="12813" width="14.5703125" style="1" customWidth="1"/>
    <col min="12814" max="12814" width="14.28515625" style="1" customWidth="1"/>
    <col min="12815" max="12815" width="13.5703125" style="1" customWidth="1"/>
    <col min="12816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15.28515625" style="1" customWidth="1"/>
    <col min="13067" max="13067" width="14.5703125" style="1" customWidth="1"/>
    <col min="13068" max="13068" width="15" style="1" customWidth="1"/>
    <col min="13069" max="13069" width="14.5703125" style="1" customWidth="1"/>
    <col min="13070" max="13070" width="14.28515625" style="1" customWidth="1"/>
    <col min="13071" max="13071" width="13.5703125" style="1" customWidth="1"/>
    <col min="13072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15.28515625" style="1" customWidth="1"/>
    <col min="13323" max="13323" width="14.5703125" style="1" customWidth="1"/>
    <col min="13324" max="13324" width="15" style="1" customWidth="1"/>
    <col min="13325" max="13325" width="14.5703125" style="1" customWidth="1"/>
    <col min="13326" max="13326" width="14.28515625" style="1" customWidth="1"/>
    <col min="13327" max="13327" width="13.5703125" style="1" customWidth="1"/>
    <col min="13328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15.28515625" style="1" customWidth="1"/>
    <col min="13579" max="13579" width="14.5703125" style="1" customWidth="1"/>
    <col min="13580" max="13580" width="15" style="1" customWidth="1"/>
    <col min="13581" max="13581" width="14.5703125" style="1" customWidth="1"/>
    <col min="13582" max="13582" width="14.28515625" style="1" customWidth="1"/>
    <col min="13583" max="13583" width="13.5703125" style="1" customWidth="1"/>
    <col min="13584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15.28515625" style="1" customWidth="1"/>
    <col min="13835" max="13835" width="14.5703125" style="1" customWidth="1"/>
    <col min="13836" max="13836" width="15" style="1" customWidth="1"/>
    <col min="13837" max="13837" width="14.5703125" style="1" customWidth="1"/>
    <col min="13838" max="13838" width="14.28515625" style="1" customWidth="1"/>
    <col min="13839" max="13839" width="13.5703125" style="1" customWidth="1"/>
    <col min="13840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15.28515625" style="1" customWidth="1"/>
    <col min="14091" max="14091" width="14.5703125" style="1" customWidth="1"/>
    <col min="14092" max="14092" width="15" style="1" customWidth="1"/>
    <col min="14093" max="14093" width="14.5703125" style="1" customWidth="1"/>
    <col min="14094" max="14094" width="14.28515625" style="1" customWidth="1"/>
    <col min="14095" max="14095" width="13.5703125" style="1" customWidth="1"/>
    <col min="14096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15.28515625" style="1" customWidth="1"/>
    <col min="14347" max="14347" width="14.5703125" style="1" customWidth="1"/>
    <col min="14348" max="14348" width="15" style="1" customWidth="1"/>
    <col min="14349" max="14349" width="14.5703125" style="1" customWidth="1"/>
    <col min="14350" max="14350" width="14.28515625" style="1" customWidth="1"/>
    <col min="14351" max="14351" width="13.5703125" style="1" customWidth="1"/>
    <col min="14352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15.28515625" style="1" customWidth="1"/>
    <col min="14603" max="14603" width="14.5703125" style="1" customWidth="1"/>
    <col min="14604" max="14604" width="15" style="1" customWidth="1"/>
    <col min="14605" max="14605" width="14.5703125" style="1" customWidth="1"/>
    <col min="14606" max="14606" width="14.28515625" style="1" customWidth="1"/>
    <col min="14607" max="14607" width="13.5703125" style="1" customWidth="1"/>
    <col min="14608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15.28515625" style="1" customWidth="1"/>
    <col min="14859" max="14859" width="14.5703125" style="1" customWidth="1"/>
    <col min="14860" max="14860" width="15" style="1" customWidth="1"/>
    <col min="14861" max="14861" width="14.5703125" style="1" customWidth="1"/>
    <col min="14862" max="14862" width="14.28515625" style="1" customWidth="1"/>
    <col min="14863" max="14863" width="13.5703125" style="1" customWidth="1"/>
    <col min="14864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15.28515625" style="1" customWidth="1"/>
    <col min="15115" max="15115" width="14.5703125" style="1" customWidth="1"/>
    <col min="15116" max="15116" width="15" style="1" customWidth="1"/>
    <col min="15117" max="15117" width="14.5703125" style="1" customWidth="1"/>
    <col min="15118" max="15118" width="14.28515625" style="1" customWidth="1"/>
    <col min="15119" max="15119" width="13.5703125" style="1" customWidth="1"/>
    <col min="15120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15.28515625" style="1" customWidth="1"/>
    <col min="15371" max="15371" width="14.5703125" style="1" customWidth="1"/>
    <col min="15372" max="15372" width="15" style="1" customWidth="1"/>
    <col min="15373" max="15373" width="14.5703125" style="1" customWidth="1"/>
    <col min="15374" max="15374" width="14.28515625" style="1" customWidth="1"/>
    <col min="15375" max="15375" width="13.5703125" style="1" customWidth="1"/>
    <col min="15376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15.28515625" style="1" customWidth="1"/>
    <col min="15627" max="15627" width="14.5703125" style="1" customWidth="1"/>
    <col min="15628" max="15628" width="15" style="1" customWidth="1"/>
    <col min="15629" max="15629" width="14.5703125" style="1" customWidth="1"/>
    <col min="15630" max="15630" width="14.28515625" style="1" customWidth="1"/>
    <col min="15631" max="15631" width="13.5703125" style="1" customWidth="1"/>
    <col min="15632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15.28515625" style="1" customWidth="1"/>
    <col min="15883" max="15883" width="14.5703125" style="1" customWidth="1"/>
    <col min="15884" max="15884" width="15" style="1" customWidth="1"/>
    <col min="15885" max="15885" width="14.5703125" style="1" customWidth="1"/>
    <col min="15886" max="15886" width="14.28515625" style="1" customWidth="1"/>
    <col min="15887" max="15887" width="13.5703125" style="1" customWidth="1"/>
    <col min="15888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15.28515625" style="1" customWidth="1"/>
    <col min="16139" max="16139" width="14.5703125" style="1" customWidth="1"/>
    <col min="16140" max="16140" width="15" style="1" customWidth="1"/>
    <col min="16141" max="16141" width="14.5703125" style="1" customWidth="1"/>
    <col min="16142" max="16142" width="14.28515625" style="1" customWidth="1"/>
    <col min="16143" max="16143" width="13.5703125" style="1" customWidth="1"/>
    <col min="16144" max="16384" width="21.5703125" style="1"/>
  </cols>
  <sheetData>
    <row r="1" spans="2:15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</row>
    <row r="2" spans="2:15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</row>
    <row r="3" spans="2:15" ht="15.75" x14ac:dyDescent="0.25">
      <c r="E3" s="6" t="s">
        <v>42</v>
      </c>
      <c r="F3" s="3"/>
      <c r="G3" s="3"/>
      <c r="H3" s="3"/>
      <c r="I3" s="7"/>
      <c r="J3" s="3"/>
      <c r="K3" s="7"/>
      <c r="L3" s="7"/>
      <c r="M3" s="7"/>
      <c r="N3" s="7"/>
      <c r="O3" s="7"/>
    </row>
    <row r="4" spans="2:15" ht="16.5" thickBot="1" x14ac:dyDescent="0.3">
      <c r="F4" s="5"/>
      <c r="G4" s="9"/>
      <c r="H4" s="9"/>
      <c r="I4" s="9"/>
      <c r="J4" s="9"/>
      <c r="K4" s="9"/>
      <c r="L4" s="9"/>
      <c r="M4" s="9"/>
      <c r="N4" s="9"/>
      <c r="O4" s="71" t="s">
        <v>3</v>
      </c>
    </row>
    <row r="5" spans="2:15" ht="16.5" thickTop="1" x14ac:dyDescent="0.25">
      <c r="E5" s="11" t="s">
        <v>2</v>
      </c>
      <c r="F5" s="12" t="s">
        <v>3</v>
      </c>
      <c r="G5" s="62" t="s">
        <v>4</v>
      </c>
      <c r="H5" s="62" t="s">
        <v>43</v>
      </c>
      <c r="I5" s="62" t="s">
        <v>40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63" t="s">
        <v>11</v>
      </c>
    </row>
    <row r="6" spans="2:15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17"/>
      <c r="O6" s="64"/>
    </row>
    <row r="7" spans="2:15" ht="15.75" x14ac:dyDescent="0.25">
      <c r="E7" s="20" t="s">
        <v>13</v>
      </c>
      <c r="F7" s="16">
        <f>G7+H7+I7+J7+K7+L7+M7+N7+O7</f>
        <v>129556471</v>
      </c>
      <c r="G7" s="17">
        <v>3939884</v>
      </c>
      <c r="H7" s="17">
        <v>4643371</v>
      </c>
      <c r="I7" s="17">
        <v>11737188</v>
      </c>
      <c r="J7" s="17">
        <v>51895</v>
      </c>
      <c r="K7" s="17">
        <v>46997964</v>
      </c>
      <c r="L7" s="17">
        <v>969113</v>
      </c>
      <c r="M7" s="17">
        <v>13964817</v>
      </c>
      <c r="N7" s="17">
        <v>34208718</v>
      </c>
      <c r="O7" s="64">
        <v>13043521</v>
      </c>
    </row>
    <row r="8" spans="2:15" ht="15.75" x14ac:dyDescent="0.25">
      <c r="E8" s="20"/>
      <c r="F8" s="16"/>
      <c r="G8" s="17"/>
      <c r="H8" s="17"/>
      <c r="I8" s="17"/>
      <c r="J8" s="17"/>
      <c r="K8" s="17"/>
      <c r="L8" s="17"/>
      <c r="M8" s="17"/>
      <c r="N8" s="17"/>
      <c r="O8" s="64"/>
    </row>
    <row r="9" spans="2:15" ht="15.75" x14ac:dyDescent="0.25">
      <c r="E9" s="20" t="s">
        <v>14</v>
      </c>
      <c r="F9" s="16">
        <f>G9+H9+I9+J9+K9+L9+M9+N9+O9</f>
        <v>7271022</v>
      </c>
      <c r="G9" s="17">
        <v>118722</v>
      </c>
      <c r="H9" s="17">
        <v>444781</v>
      </c>
      <c r="I9" s="17">
        <v>684608</v>
      </c>
      <c r="J9" s="17">
        <v>3179</v>
      </c>
      <c r="K9" s="17">
        <v>1792709</v>
      </c>
      <c r="L9" s="17">
        <v>4227023</v>
      </c>
      <c r="M9" s="17">
        <v>0</v>
      </c>
      <c r="N9" s="17">
        <v>0</v>
      </c>
      <c r="O9" s="64">
        <v>0</v>
      </c>
    </row>
    <row r="10" spans="2:15" ht="15.75" x14ac:dyDescent="0.25">
      <c r="E10" s="20"/>
      <c r="F10" s="16"/>
      <c r="G10" s="17"/>
      <c r="H10" s="17"/>
      <c r="I10" s="17"/>
      <c r="J10" s="17"/>
      <c r="K10" s="17"/>
      <c r="L10" s="17"/>
      <c r="M10" s="17"/>
      <c r="N10" s="17"/>
      <c r="O10" s="64"/>
    </row>
    <row r="11" spans="2:15" ht="15.75" x14ac:dyDescent="0.25">
      <c r="B11" s="21"/>
      <c r="C11" s="21"/>
      <c r="D11" s="21"/>
      <c r="E11" s="20" t="s">
        <v>15</v>
      </c>
      <c r="F11" s="16">
        <f>G11+H11+I11+J11+K11+L11+M11+N11+O11</f>
        <v>59217441</v>
      </c>
      <c r="G11" s="17">
        <v>1953322</v>
      </c>
      <c r="H11" s="17">
        <v>2161662</v>
      </c>
      <c r="I11" s="17">
        <v>6353207</v>
      </c>
      <c r="J11" s="17">
        <v>0</v>
      </c>
      <c r="K11" s="17">
        <v>13071319</v>
      </c>
      <c r="L11" s="17">
        <v>0</v>
      </c>
      <c r="M11" s="17">
        <v>5179679</v>
      </c>
      <c r="N11" s="17">
        <v>24745132</v>
      </c>
      <c r="O11" s="64">
        <v>5753120</v>
      </c>
    </row>
    <row r="12" spans="2:15" ht="15.75" x14ac:dyDescent="0.25">
      <c r="E12" s="20" t="s">
        <v>16</v>
      </c>
      <c r="F12" s="16">
        <f>G12+H12+I12+J12+K12+L12+M12+N12+O12</f>
        <v>10586456</v>
      </c>
      <c r="G12" s="17">
        <v>0</v>
      </c>
      <c r="H12" s="17">
        <v>0</v>
      </c>
      <c r="I12" s="17">
        <v>0</v>
      </c>
      <c r="J12" s="17">
        <v>15989</v>
      </c>
      <c r="K12" s="17">
        <v>8884967</v>
      </c>
      <c r="L12" s="17">
        <v>1685500</v>
      </c>
      <c r="M12" s="17">
        <v>0</v>
      </c>
      <c r="N12" s="17">
        <v>0</v>
      </c>
      <c r="O12" s="64">
        <v>0</v>
      </c>
    </row>
    <row r="13" spans="2:15" ht="15.75" x14ac:dyDescent="0.25">
      <c r="E13" s="20"/>
      <c r="F13" s="16"/>
      <c r="G13" s="17"/>
      <c r="H13" s="17"/>
      <c r="I13" s="17"/>
      <c r="J13" s="17"/>
      <c r="K13" s="17"/>
      <c r="L13" s="17"/>
      <c r="M13" s="17"/>
      <c r="N13" s="17"/>
      <c r="O13" s="64"/>
    </row>
    <row r="14" spans="2:15" ht="15.75" x14ac:dyDescent="0.25">
      <c r="E14" s="20" t="s">
        <v>17</v>
      </c>
      <c r="F14" s="16">
        <f>G14+H14+I14+J14+K14+L14+M14+N14+O14</f>
        <v>4270164</v>
      </c>
      <c r="G14" s="17">
        <v>144955</v>
      </c>
      <c r="H14" s="17">
        <v>176772</v>
      </c>
      <c r="I14" s="17">
        <v>334392</v>
      </c>
      <c r="J14" s="17">
        <v>0</v>
      </c>
      <c r="K14" s="17">
        <v>1505522</v>
      </c>
      <c r="L14" s="17">
        <v>2108523</v>
      </c>
      <c r="M14" s="17">
        <v>0</v>
      </c>
      <c r="N14" s="17">
        <v>0</v>
      </c>
      <c r="O14" s="64">
        <v>0</v>
      </c>
    </row>
    <row r="15" spans="2:15" ht="15.75" x14ac:dyDescent="0.25">
      <c r="E15" s="20"/>
      <c r="F15" s="16"/>
      <c r="G15" s="17"/>
      <c r="H15" s="17"/>
      <c r="I15" s="17"/>
      <c r="J15" s="17"/>
      <c r="K15" s="17"/>
      <c r="L15" s="17"/>
      <c r="M15" s="17"/>
      <c r="N15" s="17"/>
      <c r="O15" s="64"/>
    </row>
    <row r="16" spans="2:15" ht="15.75" x14ac:dyDescent="0.25">
      <c r="E16" s="20" t="s">
        <v>18</v>
      </c>
      <c r="F16" s="16">
        <f>G16+H16+I16+J16+K16+L16+M16+N16+O16</f>
        <v>9304181</v>
      </c>
      <c r="G16" s="17">
        <v>297155</v>
      </c>
      <c r="H16" s="17">
        <v>386822</v>
      </c>
      <c r="I16" s="17">
        <v>628280</v>
      </c>
      <c r="J16" s="17">
        <v>0</v>
      </c>
      <c r="K16" s="17">
        <v>3871005</v>
      </c>
      <c r="L16" s="17">
        <v>4120919</v>
      </c>
      <c r="M16" s="17">
        <v>0</v>
      </c>
      <c r="N16" s="17">
        <v>0</v>
      </c>
      <c r="O16" s="64">
        <v>0</v>
      </c>
    </row>
    <row r="17" spans="5:15" ht="15.75" x14ac:dyDescent="0.25">
      <c r="E17" s="20"/>
      <c r="F17" s="16"/>
      <c r="G17" s="17"/>
      <c r="H17" s="17"/>
      <c r="I17" s="17"/>
      <c r="J17" s="17"/>
      <c r="K17" s="17"/>
      <c r="L17" s="17"/>
      <c r="M17" s="17"/>
      <c r="N17" s="17"/>
      <c r="O17" s="64"/>
    </row>
    <row r="18" spans="5:15" ht="15.75" x14ac:dyDescent="0.25">
      <c r="E18" s="20" t="s">
        <v>19</v>
      </c>
      <c r="F18" s="16">
        <f>G18+H18+I18+J18+K18+L18+M18+N18+O18</f>
        <v>22415684</v>
      </c>
      <c r="G18" s="17">
        <v>649240</v>
      </c>
      <c r="H18" s="17">
        <v>712683</v>
      </c>
      <c r="I18" s="17">
        <v>1718545</v>
      </c>
      <c r="J18" s="17">
        <v>25598</v>
      </c>
      <c r="K18" s="17">
        <v>7361420</v>
      </c>
      <c r="L18" s="17">
        <v>968959</v>
      </c>
      <c r="M18" s="17">
        <v>565484</v>
      </c>
      <c r="N18" s="17">
        <v>7149628</v>
      </c>
      <c r="O18" s="64">
        <v>3264127</v>
      </c>
    </row>
    <row r="19" spans="5:15" ht="15.75" x14ac:dyDescent="0.25">
      <c r="E19" s="20"/>
      <c r="F19" s="16"/>
      <c r="G19" s="17"/>
      <c r="H19" s="17"/>
      <c r="I19" s="17"/>
      <c r="J19" s="17"/>
      <c r="K19" s="17"/>
      <c r="L19" s="17"/>
      <c r="M19" s="17"/>
      <c r="N19" s="17"/>
      <c r="O19" s="64"/>
    </row>
    <row r="20" spans="5:15" ht="15.75" x14ac:dyDescent="0.25">
      <c r="E20" s="20" t="s">
        <v>20</v>
      </c>
      <c r="F20" s="16">
        <f>G20+H20+I20+J20+K20+L20+M20+N20+O20</f>
        <v>17476984</v>
      </c>
      <c r="G20" s="17">
        <v>469546</v>
      </c>
      <c r="H20" s="17">
        <v>695480</v>
      </c>
      <c r="I20" s="17">
        <v>1452418</v>
      </c>
      <c r="J20" s="17">
        <v>0</v>
      </c>
      <c r="K20" s="17">
        <v>8305606</v>
      </c>
      <c r="L20" s="17">
        <v>230862</v>
      </c>
      <c r="M20" s="17">
        <v>600578</v>
      </c>
      <c r="N20" s="17">
        <v>5722494</v>
      </c>
      <c r="O20" s="64">
        <v>0</v>
      </c>
    </row>
    <row r="21" spans="5:15" ht="15.75" x14ac:dyDescent="0.25">
      <c r="E21" s="20"/>
      <c r="F21" s="16"/>
      <c r="G21" s="17"/>
      <c r="H21" s="17"/>
      <c r="I21" s="17"/>
      <c r="J21" s="17"/>
      <c r="K21" s="17"/>
      <c r="L21" s="17"/>
      <c r="M21" s="17"/>
      <c r="N21" s="17"/>
      <c r="O21" s="64"/>
    </row>
    <row r="22" spans="5:15" ht="15.75" x14ac:dyDescent="0.25">
      <c r="E22" s="20" t="s">
        <v>21</v>
      </c>
      <c r="F22" s="16">
        <f>G22+H22+I22+J22+K22+L22+M22+N22+O22</f>
        <v>3757431</v>
      </c>
      <c r="G22" s="17">
        <v>179668</v>
      </c>
      <c r="H22" s="17">
        <v>102550</v>
      </c>
      <c r="I22" s="17">
        <v>315803</v>
      </c>
      <c r="J22" s="17">
        <v>0</v>
      </c>
      <c r="K22" s="17">
        <v>1771979</v>
      </c>
      <c r="L22" s="17">
        <v>1387431</v>
      </c>
      <c r="M22" s="17">
        <v>0</v>
      </c>
      <c r="N22" s="17">
        <v>0</v>
      </c>
      <c r="O22" s="64">
        <v>0</v>
      </c>
    </row>
    <row r="23" spans="5:15" ht="15.75" x14ac:dyDescent="0.25">
      <c r="E23" s="20"/>
      <c r="F23" s="16"/>
      <c r="G23" s="17"/>
      <c r="H23" s="17"/>
      <c r="I23" s="17"/>
      <c r="J23" s="17"/>
      <c r="K23" s="17"/>
      <c r="L23" s="17"/>
      <c r="M23" s="17"/>
      <c r="N23" s="17"/>
      <c r="O23" s="64"/>
    </row>
    <row r="24" spans="5:15" ht="15.75" x14ac:dyDescent="0.25">
      <c r="E24" s="20" t="s">
        <v>22</v>
      </c>
      <c r="F24" s="16">
        <f>G24+H24+I24+J24+K24+L24+M24+N24+O24</f>
        <v>391628</v>
      </c>
      <c r="G24" s="17">
        <v>10016</v>
      </c>
      <c r="H24" s="17">
        <v>13905</v>
      </c>
      <c r="I24" s="17">
        <v>1008</v>
      </c>
      <c r="J24" s="17">
        <v>0</v>
      </c>
      <c r="K24" s="17">
        <v>103606</v>
      </c>
      <c r="L24" s="17">
        <v>263093</v>
      </c>
      <c r="M24" s="17">
        <v>0</v>
      </c>
      <c r="N24" s="17">
        <v>0</v>
      </c>
      <c r="O24" s="64">
        <v>0</v>
      </c>
    </row>
    <row r="25" spans="5:15" ht="15.75" x14ac:dyDescent="0.25">
      <c r="E25" s="20"/>
      <c r="F25" s="16"/>
      <c r="G25" s="17"/>
      <c r="H25" s="17"/>
      <c r="I25" s="17"/>
      <c r="J25" s="17"/>
      <c r="K25" s="17"/>
      <c r="L25" s="17"/>
      <c r="M25" s="17"/>
      <c r="N25" s="17"/>
      <c r="O25" s="64"/>
    </row>
    <row r="26" spans="5:15" ht="15.75" x14ac:dyDescent="0.25">
      <c r="E26" s="65" t="s">
        <v>3</v>
      </c>
      <c r="F26" s="16">
        <f>F7+F9+F11+F12+F14+F16+F18+F20+F22+F24</f>
        <v>264247462</v>
      </c>
      <c r="G26" s="16">
        <f t="shared" ref="G26:O26" si="0">G7+G9+G11+G12+G14+G16+G18+G20+G22+G24</f>
        <v>7762508</v>
      </c>
      <c r="H26" s="16">
        <f>H7+H9+H11+H12+H14+H16+H18+H20+H22+H24</f>
        <v>9338026</v>
      </c>
      <c r="I26" s="16">
        <f t="shared" si="0"/>
        <v>23225449</v>
      </c>
      <c r="J26" s="16">
        <f t="shared" si="0"/>
        <v>96661</v>
      </c>
      <c r="K26" s="16">
        <f t="shared" si="0"/>
        <v>93666097</v>
      </c>
      <c r="L26" s="16">
        <f t="shared" si="0"/>
        <v>15961423</v>
      </c>
      <c r="M26" s="16">
        <f t="shared" si="0"/>
        <v>20310558</v>
      </c>
      <c r="N26" s="16">
        <f t="shared" si="0"/>
        <v>71825972</v>
      </c>
      <c r="O26" s="66">
        <f t="shared" si="0"/>
        <v>22060768</v>
      </c>
    </row>
    <row r="27" spans="5:15" ht="16.5" thickBot="1" x14ac:dyDescent="0.3">
      <c r="E27" s="25"/>
      <c r="F27" s="26"/>
      <c r="G27" s="27"/>
      <c r="H27" s="27"/>
      <c r="I27" s="27"/>
      <c r="J27" s="27"/>
      <c r="K27" s="27"/>
      <c r="L27" s="27"/>
      <c r="M27" s="27"/>
      <c r="N27" s="27"/>
      <c r="O27" s="67"/>
    </row>
    <row r="28" spans="5:15" ht="16.5" thickTop="1" x14ac:dyDescent="0.25">
      <c r="F28" s="30"/>
      <c r="G28" s="31"/>
      <c r="H28" s="31"/>
      <c r="I28" s="31"/>
      <c r="J28" s="31"/>
      <c r="K28" s="31"/>
      <c r="L28" s="31"/>
      <c r="M28" s="31"/>
      <c r="N28" s="31"/>
    </row>
    <row r="29" spans="5:15" ht="15.75" x14ac:dyDescent="0.25">
      <c r="E29" s="33" t="s">
        <v>23</v>
      </c>
      <c r="F29" s="34"/>
      <c r="G29" s="35"/>
      <c r="H29" s="35"/>
      <c r="I29" s="35"/>
      <c r="J29" s="35"/>
      <c r="K29" s="35"/>
      <c r="L29" s="35"/>
      <c r="M29" s="35"/>
      <c r="N29" s="35"/>
    </row>
    <row r="30" spans="5:15" ht="15.75" x14ac:dyDescent="0.25">
      <c r="F30" s="34"/>
      <c r="G30" s="35"/>
      <c r="H30" s="35"/>
      <c r="I30" s="35"/>
      <c r="J30" s="35"/>
      <c r="K30" s="35"/>
      <c r="L30" s="35"/>
      <c r="M30" s="35"/>
      <c r="N30" s="35"/>
    </row>
    <row r="31" spans="5:15" ht="15.75" x14ac:dyDescent="0.25">
      <c r="F31" s="34"/>
      <c r="G31" s="35"/>
      <c r="H31" s="35"/>
      <c r="I31" s="35"/>
      <c r="J31" s="35"/>
      <c r="K31" s="35"/>
      <c r="L31" s="35"/>
      <c r="M31" s="35"/>
      <c r="N31" s="35"/>
    </row>
    <row r="32" spans="5:15" ht="15.75" x14ac:dyDescent="0.25">
      <c r="E32" s="2" t="s">
        <v>0</v>
      </c>
      <c r="F32" s="3"/>
      <c r="G32" s="3"/>
      <c r="H32" s="7"/>
      <c r="I32" s="3"/>
      <c r="J32" s="7"/>
      <c r="K32" s="7"/>
      <c r="L32" s="7"/>
      <c r="M32" s="7"/>
      <c r="N32" s="7"/>
    </row>
    <row r="33" spans="5:15" ht="15.75" x14ac:dyDescent="0.25">
      <c r="F33" s="36"/>
      <c r="G33" s="37"/>
      <c r="H33" s="38"/>
      <c r="I33" s="38"/>
      <c r="J33" s="39" t="s">
        <v>1</v>
      </c>
      <c r="K33" s="38"/>
      <c r="L33" s="38"/>
      <c r="M33" s="38"/>
      <c r="N33" s="38"/>
    </row>
    <row r="34" spans="5:15" ht="15.75" x14ac:dyDescent="0.25">
      <c r="E34" s="6" t="s">
        <v>42</v>
      </c>
      <c r="F34" s="3"/>
      <c r="G34" s="3"/>
      <c r="H34" s="3"/>
      <c r="I34" s="7"/>
      <c r="J34" s="3"/>
      <c r="K34" s="7"/>
      <c r="L34" s="7"/>
      <c r="M34" s="7"/>
      <c r="N34" s="7"/>
      <c r="O34" s="7"/>
    </row>
    <row r="35" spans="5:15" ht="16.5" thickBot="1" x14ac:dyDescent="0.3">
      <c r="F35" s="36"/>
      <c r="G35" s="38"/>
      <c r="H35" s="38"/>
      <c r="I35" s="38"/>
      <c r="J35" s="38"/>
      <c r="K35" s="38"/>
      <c r="L35" s="38"/>
      <c r="M35" s="38"/>
      <c r="N35" s="38"/>
      <c r="O35" s="71" t="s">
        <v>3</v>
      </c>
    </row>
    <row r="36" spans="5:15" ht="15.95" customHeight="1" thickTop="1" x14ac:dyDescent="0.25">
      <c r="E36" s="41" t="s">
        <v>24</v>
      </c>
      <c r="F36" s="42" t="s">
        <v>3</v>
      </c>
      <c r="G36" s="62" t="s">
        <v>4</v>
      </c>
      <c r="H36" s="62" t="s">
        <v>43</v>
      </c>
      <c r="I36" s="62" t="s">
        <v>40</v>
      </c>
      <c r="J36" s="43" t="s">
        <v>6</v>
      </c>
      <c r="K36" s="43" t="s">
        <v>7</v>
      </c>
      <c r="L36" s="43" t="s">
        <v>8</v>
      </c>
      <c r="M36" s="43" t="s">
        <v>25</v>
      </c>
      <c r="N36" s="44" t="s">
        <v>10</v>
      </c>
      <c r="O36" s="63" t="s">
        <v>11</v>
      </c>
    </row>
    <row r="37" spans="5:15" ht="15.95" customHeight="1" x14ac:dyDescent="0.25">
      <c r="E37" s="45"/>
      <c r="F37" s="46"/>
      <c r="G37" s="47"/>
      <c r="H37" s="47"/>
      <c r="I37" s="47"/>
      <c r="J37" s="47"/>
      <c r="K37" s="47"/>
      <c r="L37" s="47"/>
      <c r="M37" s="47"/>
      <c r="N37" s="48"/>
      <c r="O37" s="68"/>
    </row>
    <row r="38" spans="5:15" ht="15.95" customHeight="1" x14ac:dyDescent="0.25">
      <c r="E38" s="45" t="s">
        <v>26</v>
      </c>
      <c r="F38" s="49">
        <f>SUM(G38:O38)</f>
        <v>18157294</v>
      </c>
      <c r="G38" s="50">
        <v>1349222</v>
      </c>
      <c r="H38" s="50">
        <v>0</v>
      </c>
      <c r="I38" s="50">
        <v>1449925</v>
      </c>
      <c r="J38" s="50">
        <v>15189</v>
      </c>
      <c r="K38" s="50">
        <v>6292622</v>
      </c>
      <c r="L38" s="50">
        <v>1264172</v>
      </c>
      <c r="M38" s="50">
        <v>1052241</v>
      </c>
      <c r="N38" s="51">
        <v>4621046</v>
      </c>
      <c r="O38" s="69">
        <v>2112877</v>
      </c>
    </row>
    <row r="39" spans="5:15" ht="15.95" customHeight="1" x14ac:dyDescent="0.25">
      <c r="E39" s="45" t="s">
        <v>27</v>
      </c>
      <c r="F39" s="49">
        <f>SUM(G39:O39)</f>
        <v>18799598</v>
      </c>
      <c r="G39" s="50">
        <v>1375375</v>
      </c>
      <c r="H39" s="50">
        <v>0</v>
      </c>
      <c r="I39" s="50">
        <v>1463373</v>
      </c>
      <c r="J39" s="50">
        <v>6188</v>
      </c>
      <c r="K39" s="50">
        <v>6757349</v>
      </c>
      <c r="L39" s="50">
        <v>1125408</v>
      </c>
      <c r="M39" s="50">
        <v>1337361</v>
      </c>
      <c r="N39" s="51">
        <v>4894855</v>
      </c>
      <c r="O39" s="69">
        <v>1839689</v>
      </c>
    </row>
    <row r="40" spans="5:15" ht="15.95" customHeight="1" x14ac:dyDescent="0.25">
      <c r="E40" s="45" t="s">
        <v>28</v>
      </c>
      <c r="F40" s="49">
        <f>SUM(G40:O40)</f>
        <v>21745711</v>
      </c>
      <c r="G40" s="50">
        <v>1584324</v>
      </c>
      <c r="H40" s="50">
        <v>0</v>
      </c>
      <c r="I40" s="50">
        <v>1814107</v>
      </c>
      <c r="J40" s="50">
        <v>2795</v>
      </c>
      <c r="K40" s="50">
        <v>7415836</v>
      </c>
      <c r="L40" s="50">
        <v>1209778</v>
      </c>
      <c r="M40" s="50">
        <v>1810200</v>
      </c>
      <c r="N40" s="51">
        <v>6078966</v>
      </c>
      <c r="O40" s="69">
        <v>1829705</v>
      </c>
    </row>
    <row r="41" spans="5:15" ht="15.95" customHeight="1" x14ac:dyDescent="0.25">
      <c r="E41" s="45"/>
      <c r="F41" s="49">
        <f t="shared" ref="F41:M41" si="1">F38+F39+F40</f>
        <v>58702603</v>
      </c>
      <c r="G41" s="50">
        <f t="shared" si="1"/>
        <v>4308921</v>
      </c>
      <c r="H41" s="50">
        <f t="shared" si="1"/>
        <v>0</v>
      </c>
      <c r="I41" s="50">
        <f t="shared" si="1"/>
        <v>4727405</v>
      </c>
      <c r="J41" s="50">
        <f t="shared" si="1"/>
        <v>24172</v>
      </c>
      <c r="K41" s="50">
        <f t="shared" si="1"/>
        <v>20465807</v>
      </c>
      <c r="L41" s="50">
        <f t="shared" si="1"/>
        <v>3599358</v>
      </c>
      <c r="M41" s="50">
        <f t="shared" si="1"/>
        <v>4199802</v>
      </c>
      <c r="N41" s="51">
        <f>N38+N39+N40</f>
        <v>15594867</v>
      </c>
      <c r="O41" s="69">
        <f>O38+O39+O40</f>
        <v>5782271</v>
      </c>
    </row>
    <row r="42" spans="5:15" ht="15.95" customHeight="1" x14ac:dyDescent="0.25">
      <c r="E42" s="45" t="s">
        <v>29</v>
      </c>
      <c r="F42" s="49">
        <f>SUM(G42:O42)</f>
        <v>21823852</v>
      </c>
      <c r="G42" s="50">
        <v>1446518</v>
      </c>
      <c r="H42" s="50">
        <v>0</v>
      </c>
      <c r="I42" s="50">
        <v>1670635</v>
      </c>
      <c r="J42" s="50">
        <v>8343</v>
      </c>
      <c r="K42" s="50">
        <v>8612332</v>
      </c>
      <c r="L42" s="50">
        <v>1231532</v>
      </c>
      <c r="M42" s="50">
        <v>2013716</v>
      </c>
      <c r="N42" s="51">
        <v>5025238</v>
      </c>
      <c r="O42" s="69">
        <v>1815538</v>
      </c>
    </row>
    <row r="43" spans="5:15" ht="15.95" customHeight="1" x14ac:dyDescent="0.25">
      <c r="E43" s="45" t="s">
        <v>30</v>
      </c>
      <c r="F43" s="49">
        <f>SUM(G43:O43)</f>
        <v>22009213</v>
      </c>
      <c r="G43" s="50">
        <v>1365839</v>
      </c>
      <c r="H43" s="50">
        <v>0</v>
      </c>
      <c r="I43" s="50">
        <v>1683963</v>
      </c>
      <c r="J43" s="50">
        <v>17504</v>
      </c>
      <c r="K43" s="50">
        <v>8290788</v>
      </c>
      <c r="L43" s="50">
        <v>1162775</v>
      </c>
      <c r="M43" s="50">
        <v>2100475</v>
      </c>
      <c r="N43" s="51">
        <v>5589174</v>
      </c>
      <c r="O43" s="69">
        <v>1798695</v>
      </c>
    </row>
    <row r="44" spans="5:15" ht="15.95" customHeight="1" x14ac:dyDescent="0.25">
      <c r="E44" s="45" t="s">
        <v>31</v>
      </c>
      <c r="F44" s="49">
        <f>SUM(G44:O44)</f>
        <v>22243122</v>
      </c>
      <c r="G44" s="50">
        <v>641230</v>
      </c>
      <c r="H44" s="50">
        <v>1106594</v>
      </c>
      <c r="I44" s="50">
        <v>1977979</v>
      </c>
      <c r="J44" s="50">
        <v>1593</v>
      </c>
      <c r="K44" s="50">
        <v>8345323</v>
      </c>
      <c r="L44" s="50">
        <v>1206596</v>
      </c>
      <c r="M44" s="50">
        <v>1688970</v>
      </c>
      <c r="N44" s="51">
        <v>5493002</v>
      </c>
      <c r="O44" s="69">
        <v>1781835</v>
      </c>
    </row>
    <row r="45" spans="5:15" ht="15.95" customHeight="1" x14ac:dyDescent="0.25">
      <c r="E45" s="45"/>
      <c r="F45" s="49">
        <f t="shared" ref="F45:M45" si="2">F42+F43+F44</f>
        <v>66076187</v>
      </c>
      <c r="G45" s="50">
        <f t="shared" si="2"/>
        <v>3453587</v>
      </c>
      <c r="H45" s="50">
        <f t="shared" si="2"/>
        <v>1106594</v>
      </c>
      <c r="I45" s="50">
        <f t="shared" si="2"/>
        <v>5332577</v>
      </c>
      <c r="J45" s="50">
        <f t="shared" si="2"/>
        <v>27440</v>
      </c>
      <c r="K45" s="50">
        <f t="shared" si="2"/>
        <v>25248443</v>
      </c>
      <c r="L45" s="50">
        <f t="shared" si="2"/>
        <v>3600903</v>
      </c>
      <c r="M45" s="50">
        <f t="shared" si="2"/>
        <v>5803161</v>
      </c>
      <c r="N45" s="51">
        <f>N42+N43+N44</f>
        <v>16107414</v>
      </c>
      <c r="O45" s="69">
        <f>O42+O43+O44</f>
        <v>5396068</v>
      </c>
    </row>
    <row r="46" spans="5:15" ht="15.95" customHeight="1" x14ac:dyDescent="0.25">
      <c r="E46" s="45" t="s">
        <v>32</v>
      </c>
      <c r="F46" s="49">
        <f>SUM(G46:O46)</f>
        <v>24101144</v>
      </c>
      <c r="G46" s="50">
        <v>0</v>
      </c>
      <c r="H46" s="50">
        <v>1673563</v>
      </c>
      <c r="I46" s="50">
        <v>2331177</v>
      </c>
      <c r="J46" s="50">
        <v>6961</v>
      </c>
      <c r="K46" s="50">
        <v>8343126</v>
      </c>
      <c r="L46" s="50">
        <v>1471816</v>
      </c>
      <c r="M46" s="50">
        <v>1631278</v>
      </c>
      <c r="N46" s="51">
        <v>6860357</v>
      </c>
      <c r="O46" s="69">
        <v>1782866</v>
      </c>
    </row>
    <row r="47" spans="5:15" ht="15.95" customHeight="1" x14ac:dyDescent="0.25">
      <c r="E47" s="45" t="s">
        <v>41</v>
      </c>
      <c r="F47" s="49">
        <f>SUM(G47:O47)</f>
        <v>25080469</v>
      </c>
      <c r="G47" s="50">
        <v>0</v>
      </c>
      <c r="H47" s="50">
        <v>1525426</v>
      </c>
      <c r="I47" s="50">
        <v>2418969</v>
      </c>
      <c r="J47" s="50">
        <v>1783</v>
      </c>
      <c r="K47" s="50">
        <v>8274076</v>
      </c>
      <c r="L47" s="50">
        <v>1490723</v>
      </c>
      <c r="M47" s="50">
        <v>2280231</v>
      </c>
      <c r="N47" s="51">
        <v>7330266</v>
      </c>
      <c r="O47" s="69">
        <v>1758995</v>
      </c>
    </row>
    <row r="48" spans="5:15" ht="15.95" customHeight="1" x14ac:dyDescent="0.25">
      <c r="E48" s="45" t="s">
        <v>34</v>
      </c>
      <c r="F48" s="49">
        <f>SUM(G48:O48)</f>
        <v>23761873</v>
      </c>
      <c r="G48" s="50">
        <v>0</v>
      </c>
      <c r="H48" s="50">
        <v>1498297</v>
      </c>
      <c r="I48" s="50">
        <v>2149715</v>
      </c>
      <c r="J48" s="50">
        <v>10277</v>
      </c>
      <c r="K48" s="50">
        <v>8749312</v>
      </c>
      <c r="L48" s="50">
        <v>1500429</v>
      </c>
      <c r="M48" s="50">
        <v>766220</v>
      </c>
      <c r="N48" s="51">
        <v>7289989</v>
      </c>
      <c r="O48" s="69">
        <v>1797634</v>
      </c>
    </row>
    <row r="49" spans="5:15" ht="15.95" customHeight="1" x14ac:dyDescent="0.25">
      <c r="E49" s="45"/>
      <c r="F49" s="49">
        <f t="shared" ref="F49:O49" si="3">F46+F47+F48</f>
        <v>72943486</v>
      </c>
      <c r="G49" s="50">
        <f t="shared" si="3"/>
        <v>0</v>
      </c>
      <c r="H49" s="50">
        <f t="shared" si="3"/>
        <v>4697286</v>
      </c>
      <c r="I49" s="50">
        <f t="shared" si="3"/>
        <v>6899861</v>
      </c>
      <c r="J49" s="50">
        <f t="shared" si="3"/>
        <v>19021</v>
      </c>
      <c r="K49" s="50">
        <f t="shared" si="3"/>
        <v>25366514</v>
      </c>
      <c r="L49" s="50">
        <f t="shared" si="3"/>
        <v>4462968</v>
      </c>
      <c r="M49" s="50">
        <f t="shared" si="3"/>
        <v>4677729</v>
      </c>
      <c r="N49" s="51">
        <f t="shared" si="3"/>
        <v>21480612</v>
      </c>
      <c r="O49" s="69">
        <f t="shared" si="3"/>
        <v>5339495</v>
      </c>
    </row>
    <row r="50" spans="5:15" ht="15.95" customHeight="1" x14ac:dyDescent="0.25">
      <c r="E50" s="45" t="s">
        <v>35</v>
      </c>
      <c r="F50" s="49">
        <f>SUM(G50:O50)</f>
        <v>21589143</v>
      </c>
      <c r="G50" s="50">
        <v>0</v>
      </c>
      <c r="H50" s="50">
        <v>1159324</v>
      </c>
      <c r="I50" s="50">
        <v>2021912</v>
      </c>
      <c r="J50" s="50">
        <v>3377</v>
      </c>
      <c r="K50" s="50">
        <v>7722763</v>
      </c>
      <c r="L50" s="50">
        <v>1426888</v>
      </c>
      <c r="M50" s="50">
        <v>2209448</v>
      </c>
      <c r="N50" s="51">
        <v>5061732</v>
      </c>
      <c r="O50" s="69">
        <v>1983699</v>
      </c>
    </row>
    <row r="51" spans="5:15" ht="15.95" customHeight="1" x14ac:dyDescent="0.25">
      <c r="E51" s="45" t="s">
        <v>36</v>
      </c>
      <c r="F51" s="49">
        <f>SUM(G51:O51)</f>
        <v>20635475</v>
      </c>
      <c r="G51" s="50">
        <v>0</v>
      </c>
      <c r="H51" s="50">
        <v>1204175</v>
      </c>
      <c r="I51" s="50">
        <v>1958423</v>
      </c>
      <c r="J51" s="50">
        <v>5198</v>
      </c>
      <c r="K51" s="50">
        <v>7152138</v>
      </c>
      <c r="L51" s="50">
        <v>1303834</v>
      </c>
      <c r="M51" s="50">
        <v>918144</v>
      </c>
      <c r="N51" s="51">
        <v>6252819</v>
      </c>
      <c r="O51" s="69">
        <v>1840744</v>
      </c>
    </row>
    <row r="52" spans="5:15" ht="15.95" customHeight="1" x14ac:dyDescent="0.25">
      <c r="E52" s="45" t="s">
        <v>37</v>
      </c>
      <c r="F52" s="49">
        <f>SUM(G52:O52)</f>
        <v>24300568</v>
      </c>
      <c r="G52" s="50">
        <v>0</v>
      </c>
      <c r="H52" s="50">
        <v>1170647</v>
      </c>
      <c r="I52" s="50">
        <v>2285271</v>
      </c>
      <c r="J52" s="50">
        <v>17453</v>
      </c>
      <c r="K52" s="50">
        <v>7710432</v>
      </c>
      <c r="L52" s="50">
        <v>1567472</v>
      </c>
      <c r="M52" s="50">
        <v>2502274</v>
      </c>
      <c r="N52" s="51">
        <v>7328528</v>
      </c>
      <c r="O52" s="69">
        <v>1718491</v>
      </c>
    </row>
    <row r="53" spans="5:15" ht="15.95" customHeight="1" x14ac:dyDescent="0.25">
      <c r="E53" s="45"/>
      <c r="F53" s="49">
        <f t="shared" ref="F53:O53" si="4">F50+F51+F52</f>
        <v>66525186</v>
      </c>
      <c r="G53" s="50">
        <f t="shared" si="4"/>
        <v>0</v>
      </c>
      <c r="H53" s="50">
        <f t="shared" si="4"/>
        <v>3534146</v>
      </c>
      <c r="I53" s="50">
        <f t="shared" si="4"/>
        <v>6265606</v>
      </c>
      <c r="J53" s="50">
        <f t="shared" si="4"/>
        <v>26028</v>
      </c>
      <c r="K53" s="50">
        <f t="shared" si="4"/>
        <v>22585333</v>
      </c>
      <c r="L53" s="50">
        <f t="shared" si="4"/>
        <v>4298194</v>
      </c>
      <c r="M53" s="50">
        <f t="shared" si="4"/>
        <v>5629866</v>
      </c>
      <c r="N53" s="51">
        <f t="shared" si="4"/>
        <v>18643079</v>
      </c>
      <c r="O53" s="69">
        <f t="shared" si="4"/>
        <v>5542934</v>
      </c>
    </row>
    <row r="54" spans="5:15" ht="15.95" customHeight="1" x14ac:dyDescent="0.25">
      <c r="E54" s="70" t="s">
        <v>38</v>
      </c>
      <c r="F54" s="49">
        <f t="shared" ref="F54:O54" si="5">F38+F39+F40+F42+F43+F44+F46+F47+F48+F50+F51+F52</f>
        <v>264247462</v>
      </c>
      <c r="G54" s="50">
        <f t="shared" si="5"/>
        <v>7762508</v>
      </c>
      <c r="H54" s="50">
        <f t="shared" si="5"/>
        <v>9338026</v>
      </c>
      <c r="I54" s="50">
        <f t="shared" si="5"/>
        <v>23225449</v>
      </c>
      <c r="J54" s="50">
        <f t="shared" si="5"/>
        <v>96661</v>
      </c>
      <c r="K54" s="50">
        <f t="shared" si="5"/>
        <v>93666097</v>
      </c>
      <c r="L54" s="50">
        <f t="shared" si="5"/>
        <v>15961423</v>
      </c>
      <c r="M54" s="50">
        <f t="shared" si="5"/>
        <v>20310558</v>
      </c>
      <c r="N54" s="51">
        <f t="shared" si="5"/>
        <v>71825972</v>
      </c>
      <c r="O54" s="69">
        <f t="shared" si="5"/>
        <v>22060768</v>
      </c>
    </row>
    <row r="55" spans="5:15" ht="15.95" customHeight="1" thickBot="1" x14ac:dyDescent="0.3">
      <c r="E55" s="58"/>
      <c r="F55" s="26"/>
      <c r="G55" s="27"/>
      <c r="H55" s="27"/>
      <c r="I55" s="27"/>
      <c r="J55" s="27"/>
      <c r="K55" s="27"/>
      <c r="L55" s="27"/>
      <c r="M55" s="27"/>
      <c r="N55" s="28"/>
      <c r="O55" s="67"/>
    </row>
    <row r="56" spans="5:15" ht="16.5" thickTop="1" x14ac:dyDescent="0.25">
      <c r="F56" s="59"/>
      <c r="G56" s="60"/>
      <c r="H56" s="60"/>
      <c r="I56" s="60"/>
      <c r="J56" s="60"/>
      <c r="K56" s="60"/>
      <c r="L56" s="60"/>
      <c r="M56" s="60"/>
      <c r="N56" s="60"/>
    </row>
    <row r="57" spans="5:15" ht="15.75" x14ac:dyDescent="0.25">
      <c r="E57" s="33" t="s">
        <v>23</v>
      </c>
      <c r="F57" s="59"/>
      <c r="G57" s="60"/>
      <c r="H57" s="60"/>
      <c r="I57" s="60"/>
      <c r="J57" s="60"/>
      <c r="K57" s="60"/>
      <c r="L57" s="60"/>
      <c r="M57" s="60"/>
      <c r="N57" s="60"/>
    </row>
    <row r="58" spans="5:15" ht="15.75" x14ac:dyDescent="0.25">
      <c r="E58" s="61"/>
      <c r="F58" s="59"/>
      <c r="G58" s="60"/>
      <c r="H58" s="60"/>
      <c r="I58" s="60"/>
      <c r="J58" s="60"/>
      <c r="K58" s="60"/>
      <c r="L58" s="60"/>
      <c r="M58" s="60"/>
      <c r="N58" s="60"/>
    </row>
    <row r="59" spans="5:15" ht="15.75" x14ac:dyDescent="0.25">
      <c r="F59" s="59"/>
      <c r="G59" s="60"/>
      <c r="H59" s="60"/>
      <c r="I59" s="60"/>
      <c r="J59" s="60"/>
      <c r="K59" s="60"/>
      <c r="L59" s="60"/>
      <c r="M59" s="60"/>
      <c r="N59" s="60"/>
    </row>
    <row r="60" spans="5:15" ht="15.75" x14ac:dyDescent="0.25">
      <c r="F60" s="59"/>
      <c r="G60" s="60"/>
      <c r="H60" s="60"/>
      <c r="I60" s="60"/>
      <c r="J60" s="60"/>
      <c r="K60" s="60"/>
      <c r="L60" s="60"/>
      <c r="M60" s="60"/>
      <c r="N60" s="60"/>
    </row>
    <row r="61" spans="5:15" ht="15.75" x14ac:dyDescent="0.25">
      <c r="F61" s="59"/>
      <c r="G61" s="60"/>
      <c r="H61" s="60"/>
      <c r="I61" s="60"/>
      <c r="J61" s="60"/>
      <c r="K61" s="60"/>
      <c r="L61" s="60"/>
      <c r="M61" s="60"/>
      <c r="N61" s="60"/>
    </row>
    <row r="62" spans="5:15" ht="15.75" x14ac:dyDescent="0.25">
      <c r="F62" s="59"/>
      <c r="G62" s="60"/>
      <c r="H62" s="60"/>
      <c r="I62" s="60"/>
      <c r="J62" s="60"/>
      <c r="K62" s="60"/>
      <c r="L62" s="60"/>
      <c r="M62" s="60"/>
      <c r="N62" s="60"/>
    </row>
    <row r="63" spans="5:15" ht="15.75" x14ac:dyDescent="0.25">
      <c r="F63" s="59"/>
      <c r="G63" s="60"/>
      <c r="H63" s="60"/>
      <c r="I63" s="60"/>
      <c r="J63" s="60"/>
      <c r="K63" s="60"/>
      <c r="L63" s="60"/>
      <c r="M63" s="60"/>
      <c r="N63" s="60"/>
    </row>
    <row r="64" spans="5:15" ht="15.75" x14ac:dyDescent="0.25">
      <c r="F64" s="59"/>
      <c r="G64" s="60"/>
      <c r="H64" s="60"/>
      <c r="I64" s="60"/>
      <c r="J64" s="60"/>
      <c r="K64" s="60"/>
      <c r="L64" s="60"/>
      <c r="M64" s="60"/>
      <c r="N64" s="60"/>
    </row>
    <row r="65" spans="6:14" ht="15.75" x14ac:dyDescent="0.25">
      <c r="F65" s="59"/>
      <c r="G65" s="60"/>
      <c r="H65" s="60"/>
      <c r="I65" s="60"/>
      <c r="J65" s="60"/>
      <c r="K65" s="60"/>
      <c r="L65" s="60"/>
      <c r="M65" s="60"/>
      <c r="N65" s="60"/>
    </row>
    <row r="66" spans="6:14" ht="15.75" x14ac:dyDescent="0.25">
      <c r="F66" s="59"/>
      <c r="G66" s="60"/>
      <c r="H66" s="60"/>
      <c r="I66" s="60"/>
      <c r="J66" s="60"/>
      <c r="K66" s="60"/>
      <c r="L66" s="60"/>
      <c r="M66" s="60"/>
      <c r="N66" s="60"/>
    </row>
    <row r="67" spans="6:14" ht="15.75" x14ac:dyDescent="0.25">
      <c r="F67" s="59"/>
      <c r="G67" s="60"/>
      <c r="H67" s="60"/>
      <c r="I67" s="60"/>
      <c r="J67" s="60"/>
      <c r="K67" s="60"/>
      <c r="L67" s="60"/>
      <c r="M67" s="60"/>
      <c r="N67" s="60"/>
    </row>
    <row r="68" spans="6:14" ht="15.75" x14ac:dyDescent="0.25">
      <c r="F68" s="59"/>
      <c r="G68" s="60"/>
      <c r="H68" s="60"/>
      <c r="I68" s="60"/>
      <c r="J68" s="60"/>
      <c r="K68" s="60"/>
      <c r="L68" s="60"/>
      <c r="M68" s="60"/>
      <c r="N68" s="60"/>
    </row>
    <row r="69" spans="6:14" ht="15.75" x14ac:dyDescent="0.25">
      <c r="F69" s="59"/>
      <c r="G69" s="60"/>
      <c r="H69" s="60"/>
      <c r="I69" s="60"/>
      <c r="J69" s="60"/>
      <c r="K69" s="60"/>
      <c r="L69" s="60"/>
      <c r="M69" s="60"/>
      <c r="N69" s="60"/>
    </row>
    <row r="70" spans="6:14" ht="15.75" x14ac:dyDescent="0.25">
      <c r="F70" s="59"/>
      <c r="G70" s="60"/>
      <c r="H70" s="60"/>
      <c r="I70" s="60"/>
      <c r="J70" s="60"/>
      <c r="K70" s="60"/>
      <c r="L70" s="60"/>
      <c r="M70" s="60"/>
      <c r="N70" s="60"/>
    </row>
    <row r="71" spans="6:14" ht="15.75" x14ac:dyDescent="0.25">
      <c r="F71" s="59"/>
      <c r="G71" s="60"/>
      <c r="H71" s="60"/>
      <c r="I71" s="60"/>
      <c r="J71" s="60"/>
      <c r="K71" s="60"/>
      <c r="L71" s="60"/>
      <c r="M71" s="60"/>
      <c r="N71" s="60"/>
    </row>
    <row r="72" spans="6:14" ht="15.75" x14ac:dyDescent="0.25">
      <c r="F72" s="59"/>
      <c r="G72" s="60"/>
      <c r="H72" s="60"/>
      <c r="I72" s="60"/>
      <c r="J72" s="60"/>
      <c r="K72" s="60"/>
      <c r="L72" s="60"/>
      <c r="M72" s="60"/>
      <c r="N72" s="60"/>
    </row>
    <row r="73" spans="6:14" ht="15.75" x14ac:dyDescent="0.25">
      <c r="F73" s="59"/>
      <c r="G73" s="60"/>
      <c r="H73" s="60"/>
      <c r="I73" s="60"/>
      <c r="J73" s="60"/>
      <c r="K73" s="60"/>
      <c r="L73" s="60"/>
      <c r="M73" s="60"/>
      <c r="N73" s="60"/>
    </row>
    <row r="74" spans="6:14" ht="15.75" x14ac:dyDescent="0.25">
      <c r="F74" s="59"/>
      <c r="G74" s="60"/>
      <c r="H74" s="60"/>
      <c r="I74" s="60"/>
      <c r="J74" s="60"/>
      <c r="K74" s="60"/>
      <c r="L74" s="60"/>
      <c r="M74" s="60"/>
      <c r="N74" s="60"/>
    </row>
    <row r="75" spans="6:14" ht="15.75" x14ac:dyDescent="0.25">
      <c r="F75" s="59"/>
      <c r="G75" s="60"/>
      <c r="H75" s="60"/>
      <c r="I75" s="60"/>
      <c r="J75" s="60"/>
      <c r="K75" s="60"/>
      <c r="L75" s="60"/>
      <c r="M75" s="60"/>
      <c r="N75" s="60"/>
    </row>
    <row r="76" spans="6:14" ht="15.75" x14ac:dyDescent="0.25">
      <c r="F76" s="59"/>
      <c r="G76" s="60"/>
      <c r="H76" s="60"/>
      <c r="I76" s="60"/>
      <c r="J76" s="60"/>
      <c r="K76" s="60"/>
      <c r="L76" s="60"/>
      <c r="M76" s="60"/>
      <c r="N76" s="60"/>
    </row>
    <row r="77" spans="6:14" ht="15.75" x14ac:dyDescent="0.25">
      <c r="F77" s="59"/>
      <c r="G77" s="60"/>
      <c r="H77" s="60"/>
      <c r="I77" s="60"/>
      <c r="J77" s="60"/>
      <c r="K77" s="60"/>
      <c r="L77" s="60"/>
      <c r="M77" s="60"/>
      <c r="N77" s="60"/>
    </row>
    <row r="78" spans="6:14" ht="15.75" x14ac:dyDescent="0.25">
      <c r="F78" s="59"/>
      <c r="G78" s="60"/>
      <c r="H78" s="60"/>
      <c r="I78" s="60"/>
      <c r="J78" s="60"/>
      <c r="K78" s="60"/>
      <c r="L78" s="60"/>
      <c r="M78" s="60"/>
      <c r="N78" s="60"/>
    </row>
    <row r="79" spans="6:14" ht="15.75" x14ac:dyDescent="0.25">
      <c r="F79" s="59"/>
      <c r="G79" s="60"/>
      <c r="H79" s="60"/>
      <c r="I79" s="60"/>
      <c r="J79" s="60"/>
      <c r="K79" s="60"/>
      <c r="L79" s="60"/>
      <c r="M79" s="60"/>
      <c r="N79" s="60"/>
    </row>
    <row r="80" spans="6:14" ht="15.75" x14ac:dyDescent="0.25">
      <c r="F80" s="59"/>
      <c r="G80" s="60"/>
      <c r="H80" s="60"/>
      <c r="I80" s="60"/>
      <c r="J80" s="60"/>
      <c r="K80" s="60"/>
      <c r="L80" s="60"/>
      <c r="M80" s="60"/>
      <c r="N80" s="60"/>
    </row>
    <row r="81" spans="6:14" ht="15.75" x14ac:dyDescent="0.25">
      <c r="F81" s="59"/>
      <c r="G81" s="60"/>
      <c r="H81" s="60"/>
      <c r="I81" s="60"/>
      <c r="J81" s="60"/>
      <c r="K81" s="60"/>
      <c r="L81" s="60"/>
      <c r="M81" s="60"/>
      <c r="N81" s="60"/>
    </row>
    <row r="82" spans="6:14" ht="15.75" x14ac:dyDescent="0.25">
      <c r="F82" s="59"/>
      <c r="G82" s="60"/>
      <c r="H82" s="60"/>
      <c r="I82" s="60"/>
      <c r="J82" s="60"/>
      <c r="K82" s="60"/>
      <c r="L82" s="60"/>
      <c r="M82" s="60"/>
      <c r="N82" s="60"/>
    </row>
    <row r="83" spans="6:14" ht="15.75" x14ac:dyDescent="0.25">
      <c r="F83" s="59"/>
      <c r="G83" s="60"/>
      <c r="H83" s="60"/>
      <c r="I83" s="60"/>
      <c r="J83" s="60"/>
      <c r="K83" s="60"/>
      <c r="L83" s="60"/>
      <c r="M83" s="60"/>
      <c r="N83" s="60"/>
    </row>
    <row r="84" spans="6:14" ht="15.75" x14ac:dyDescent="0.25">
      <c r="F84" s="59"/>
      <c r="G84" s="60"/>
      <c r="H84" s="60"/>
      <c r="I84" s="60"/>
      <c r="J84" s="60"/>
      <c r="K84" s="60"/>
      <c r="L84" s="60"/>
      <c r="M84" s="60"/>
      <c r="N84" s="60"/>
    </row>
    <row r="85" spans="6:14" ht="15.75" x14ac:dyDescent="0.25">
      <c r="F85" s="59"/>
      <c r="G85" s="60"/>
      <c r="H85" s="60"/>
      <c r="I85" s="60"/>
      <c r="J85" s="60"/>
      <c r="K85" s="60"/>
      <c r="L85" s="60"/>
      <c r="M85" s="60"/>
      <c r="N85" s="60"/>
    </row>
    <row r="86" spans="6:14" ht="15.75" x14ac:dyDescent="0.25">
      <c r="F86" s="59"/>
      <c r="G86" s="60"/>
      <c r="H86" s="60"/>
      <c r="I86" s="60"/>
      <c r="J86" s="60"/>
      <c r="K86" s="60"/>
      <c r="L86" s="60"/>
      <c r="M86" s="60"/>
      <c r="N86" s="60"/>
    </row>
    <row r="87" spans="6:14" ht="15.75" x14ac:dyDescent="0.25">
      <c r="F87" s="59"/>
      <c r="G87" s="60"/>
      <c r="H87" s="60"/>
      <c r="I87" s="60"/>
      <c r="J87" s="60"/>
      <c r="K87" s="60"/>
      <c r="L87" s="60"/>
      <c r="M87" s="60"/>
      <c r="N87" s="60"/>
    </row>
    <row r="88" spans="6:14" ht="15.75" x14ac:dyDescent="0.25">
      <c r="F88" s="59"/>
      <c r="G88" s="60"/>
      <c r="H88" s="60"/>
      <c r="I88" s="60"/>
      <c r="J88" s="60"/>
      <c r="K88" s="60"/>
      <c r="L88" s="60"/>
      <c r="M88" s="60"/>
      <c r="N88" s="60"/>
    </row>
    <row r="89" spans="6:14" ht="15.75" x14ac:dyDescent="0.25">
      <c r="F89" s="59"/>
      <c r="G89" s="60"/>
      <c r="H89" s="60"/>
      <c r="I89" s="60"/>
      <c r="J89" s="60"/>
      <c r="K89" s="60"/>
      <c r="L89" s="60"/>
      <c r="M89" s="60"/>
      <c r="N89" s="60"/>
    </row>
    <row r="90" spans="6:14" ht="15.75" x14ac:dyDescent="0.25">
      <c r="F90" s="59"/>
      <c r="G90" s="60"/>
      <c r="H90" s="60"/>
      <c r="I90" s="60"/>
      <c r="J90" s="60"/>
      <c r="K90" s="60"/>
      <c r="L90" s="60"/>
      <c r="M90" s="60"/>
      <c r="N90" s="60"/>
    </row>
    <row r="91" spans="6:14" ht="15.75" x14ac:dyDescent="0.25">
      <c r="F91" s="59"/>
      <c r="G91" s="60"/>
      <c r="H91" s="60"/>
      <c r="I91" s="60"/>
      <c r="J91" s="60"/>
      <c r="K91" s="60"/>
      <c r="L91" s="60"/>
      <c r="M91" s="60"/>
      <c r="N91" s="60"/>
    </row>
    <row r="92" spans="6:14" ht="15.75" x14ac:dyDescent="0.25">
      <c r="F92" s="59"/>
      <c r="G92" s="60"/>
      <c r="H92" s="60"/>
      <c r="I92" s="60"/>
      <c r="J92" s="60"/>
      <c r="K92" s="60"/>
      <c r="L92" s="60"/>
      <c r="M92" s="60"/>
      <c r="N92" s="60"/>
    </row>
    <row r="93" spans="6:14" ht="15.75" x14ac:dyDescent="0.25">
      <c r="F93" s="59"/>
      <c r="G93" s="60"/>
      <c r="H93" s="60"/>
      <c r="I93" s="60"/>
      <c r="J93" s="60"/>
      <c r="K93" s="60"/>
      <c r="L93" s="60"/>
      <c r="M93" s="60"/>
      <c r="N93" s="60"/>
    </row>
    <row r="94" spans="6:14" ht="15.75" x14ac:dyDescent="0.25">
      <c r="F94" s="59"/>
      <c r="G94" s="60"/>
      <c r="H94" s="60"/>
      <c r="I94" s="60"/>
      <c r="J94" s="60"/>
      <c r="K94" s="60"/>
      <c r="L94" s="60"/>
      <c r="M94" s="60"/>
      <c r="N94" s="60"/>
    </row>
    <row r="95" spans="6:14" ht="15.75" x14ac:dyDescent="0.25">
      <c r="F95" s="59"/>
      <c r="G95" s="60"/>
      <c r="H95" s="60"/>
      <c r="I95" s="60"/>
      <c r="J95" s="60"/>
      <c r="K95" s="60"/>
      <c r="L95" s="60"/>
      <c r="M95" s="60"/>
      <c r="N95" s="60"/>
    </row>
    <row r="96" spans="6:14" ht="15.75" x14ac:dyDescent="0.25">
      <c r="F96" s="59"/>
      <c r="G96" s="60"/>
      <c r="H96" s="60"/>
      <c r="I96" s="60"/>
      <c r="J96" s="60"/>
      <c r="K96" s="60"/>
      <c r="L96" s="60"/>
      <c r="M96" s="60"/>
      <c r="N96" s="60"/>
    </row>
    <row r="97" spans="6:14" ht="15.75" x14ac:dyDescent="0.25">
      <c r="F97" s="59"/>
      <c r="G97" s="60"/>
      <c r="H97" s="60"/>
      <c r="I97" s="60"/>
      <c r="J97" s="60"/>
      <c r="K97" s="60"/>
      <c r="L97" s="60"/>
      <c r="M97" s="60"/>
      <c r="N97" s="60"/>
    </row>
    <row r="98" spans="6:14" ht="15.75" x14ac:dyDescent="0.25">
      <c r="F98" s="59"/>
      <c r="G98" s="60"/>
      <c r="H98" s="60"/>
      <c r="I98" s="60"/>
      <c r="J98" s="60"/>
      <c r="K98" s="60"/>
      <c r="L98" s="60"/>
      <c r="M98" s="60"/>
      <c r="N98" s="60"/>
    </row>
    <row r="99" spans="6:14" ht="15.75" x14ac:dyDescent="0.25">
      <c r="F99" s="59"/>
      <c r="G99" s="60"/>
      <c r="H99" s="60"/>
      <c r="I99" s="60"/>
      <c r="J99" s="60"/>
      <c r="K99" s="60"/>
      <c r="L99" s="60"/>
      <c r="M99" s="60"/>
      <c r="N99" s="60"/>
    </row>
    <row r="100" spans="6:14" ht="15.75" x14ac:dyDescent="0.25">
      <c r="F100" s="59"/>
      <c r="G100" s="60"/>
      <c r="H100" s="60"/>
      <c r="I100" s="60"/>
      <c r="J100" s="60"/>
      <c r="K100" s="60"/>
      <c r="L100" s="60"/>
      <c r="M100" s="60"/>
      <c r="N100" s="60"/>
    </row>
    <row r="101" spans="6:14" ht="15.75" x14ac:dyDescent="0.25">
      <c r="F101" s="59"/>
      <c r="G101" s="60"/>
      <c r="H101" s="60"/>
      <c r="I101" s="60"/>
      <c r="J101" s="60"/>
      <c r="K101" s="60"/>
      <c r="L101" s="60"/>
      <c r="M101" s="60"/>
      <c r="N101" s="60"/>
    </row>
    <row r="102" spans="6:14" ht="15.75" x14ac:dyDescent="0.25">
      <c r="F102" s="59"/>
      <c r="G102" s="60"/>
      <c r="H102" s="60"/>
      <c r="I102" s="60"/>
      <c r="J102" s="60"/>
      <c r="K102" s="60"/>
      <c r="L102" s="60"/>
      <c r="M102" s="60"/>
      <c r="N102" s="60"/>
    </row>
    <row r="103" spans="6:14" ht="15.75" x14ac:dyDescent="0.25">
      <c r="F103" s="59"/>
      <c r="G103" s="60"/>
      <c r="H103" s="60"/>
      <c r="I103" s="60"/>
      <c r="J103" s="60"/>
      <c r="K103" s="60"/>
      <c r="L103" s="60"/>
      <c r="M103" s="60"/>
      <c r="N103" s="60"/>
    </row>
    <row r="104" spans="6:14" ht="15.75" x14ac:dyDescent="0.25">
      <c r="F104" s="59"/>
      <c r="G104" s="60"/>
      <c r="H104" s="60"/>
      <c r="I104" s="60"/>
      <c r="J104" s="60"/>
      <c r="K104" s="60"/>
      <c r="L104" s="60"/>
      <c r="M104" s="60"/>
      <c r="N104" s="60"/>
    </row>
    <row r="105" spans="6:14" ht="15.75" x14ac:dyDescent="0.25">
      <c r="F105" s="59"/>
      <c r="G105" s="60"/>
      <c r="H105" s="60"/>
      <c r="I105" s="60"/>
      <c r="J105" s="60"/>
      <c r="K105" s="60"/>
      <c r="L105" s="60"/>
      <c r="M105" s="60"/>
      <c r="N105" s="60"/>
    </row>
    <row r="106" spans="6:14" ht="15.75" x14ac:dyDescent="0.25">
      <c r="F106" s="59"/>
      <c r="G106" s="60"/>
      <c r="H106" s="60"/>
      <c r="I106" s="60"/>
      <c r="J106" s="60"/>
      <c r="K106" s="60"/>
      <c r="L106" s="60"/>
      <c r="M106" s="60"/>
      <c r="N106" s="60"/>
    </row>
    <row r="107" spans="6:14" ht="15.75" x14ac:dyDescent="0.25">
      <c r="F107" s="59"/>
      <c r="G107" s="60"/>
      <c r="H107" s="60"/>
      <c r="I107" s="60"/>
      <c r="J107" s="60"/>
      <c r="K107" s="60"/>
      <c r="L107" s="60"/>
      <c r="M107" s="60"/>
      <c r="N107" s="60"/>
    </row>
    <row r="108" spans="6:14" ht="15.75" x14ac:dyDescent="0.25">
      <c r="F108" s="59"/>
      <c r="G108" s="60"/>
      <c r="H108" s="60"/>
      <c r="I108" s="60"/>
      <c r="J108" s="60"/>
      <c r="K108" s="60"/>
      <c r="L108" s="60"/>
      <c r="M108" s="60"/>
      <c r="N108" s="60"/>
    </row>
    <row r="109" spans="6:14" ht="15.75" x14ac:dyDescent="0.25">
      <c r="F109" s="59"/>
      <c r="G109" s="60"/>
      <c r="H109" s="60"/>
      <c r="I109" s="60"/>
      <c r="J109" s="60"/>
      <c r="K109" s="60"/>
      <c r="L109" s="60"/>
      <c r="M109" s="60"/>
      <c r="N109" s="60"/>
    </row>
    <row r="110" spans="6:14" ht="15.75" x14ac:dyDescent="0.25">
      <c r="F110" s="59"/>
      <c r="G110" s="60"/>
      <c r="H110" s="60"/>
      <c r="I110" s="60"/>
      <c r="J110" s="60"/>
      <c r="K110" s="60"/>
      <c r="L110" s="60"/>
      <c r="M110" s="60"/>
      <c r="N110" s="60"/>
    </row>
    <row r="111" spans="6:14" ht="15.75" x14ac:dyDescent="0.25">
      <c r="F111" s="59"/>
      <c r="G111" s="60"/>
      <c r="H111" s="60"/>
      <c r="I111" s="60"/>
      <c r="J111" s="60"/>
      <c r="K111" s="60"/>
      <c r="L111" s="60"/>
      <c r="M111" s="60"/>
      <c r="N111" s="60"/>
    </row>
    <row r="112" spans="6:14" ht="15.75" x14ac:dyDescent="0.25">
      <c r="F112" s="59"/>
      <c r="G112" s="60"/>
      <c r="H112" s="60"/>
      <c r="I112" s="60"/>
      <c r="J112" s="60"/>
      <c r="K112" s="60"/>
      <c r="L112" s="60"/>
      <c r="M112" s="60"/>
      <c r="N112" s="60"/>
    </row>
    <row r="113" spans="6:14" ht="15.75" x14ac:dyDescent="0.25">
      <c r="F113" s="59"/>
      <c r="G113" s="60"/>
      <c r="H113" s="60"/>
      <c r="I113" s="60"/>
      <c r="J113" s="60"/>
      <c r="K113" s="60"/>
      <c r="L113" s="60"/>
      <c r="M113" s="60"/>
      <c r="N113" s="60"/>
    </row>
    <row r="114" spans="6:14" ht="15.75" x14ac:dyDescent="0.25">
      <c r="F114" s="59"/>
      <c r="G114" s="60"/>
      <c r="H114" s="60"/>
      <c r="I114" s="60"/>
      <c r="J114" s="60"/>
      <c r="K114" s="60"/>
      <c r="L114" s="60"/>
      <c r="M114" s="60"/>
      <c r="N114" s="60"/>
    </row>
    <row r="115" spans="6:14" ht="15.75" x14ac:dyDescent="0.25">
      <c r="F115" s="59"/>
      <c r="G115" s="60"/>
      <c r="H115" s="60"/>
      <c r="I115" s="60"/>
      <c r="J115" s="60"/>
      <c r="K115" s="60"/>
      <c r="L115" s="60"/>
      <c r="M115" s="60"/>
      <c r="N115" s="60"/>
    </row>
    <row r="116" spans="6:14" ht="15.75" x14ac:dyDescent="0.25">
      <c r="F116" s="59"/>
      <c r="G116" s="60"/>
      <c r="H116" s="60"/>
      <c r="I116" s="60"/>
      <c r="J116" s="60"/>
      <c r="K116" s="60"/>
      <c r="L116" s="60"/>
      <c r="M116" s="60"/>
      <c r="N116" s="60"/>
    </row>
    <row r="117" spans="6:14" ht="15.75" x14ac:dyDescent="0.25">
      <c r="F117" s="59"/>
      <c r="G117" s="60"/>
      <c r="H117" s="60"/>
      <c r="I117" s="60"/>
      <c r="J117" s="60"/>
      <c r="K117" s="60"/>
      <c r="L117" s="60"/>
      <c r="M117" s="60"/>
      <c r="N117" s="60"/>
    </row>
    <row r="118" spans="6:14" ht="15.75" x14ac:dyDescent="0.25">
      <c r="F118" s="59"/>
      <c r="G118" s="60"/>
      <c r="H118" s="60"/>
      <c r="I118" s="60"/>
      <c r="J118" s="60"/>
      <c r="K118" s="60"/>
      <c r="L118" s="60"/>
      <c r="M118" s="60"/>
      <c r="N118" s="60"/>
    </row>
    <row r="119" spans="6:14" ht="15.75" x14ac:dyDescent="0.25">
      <c r="F119" s="59"/>
      <c r="G119" s="60"/>
      <c r="H119" s="60"/>
      <c r="I119" s="60"/>
      <c r="J119" s="60"/>
      <c r="K119" s="60"/>
      <c r="L119" s="60"/>
      <c r="M119" s="60"/>
      <c r="N119" s="60"/>
    </row>
    <row r="120" spans="6:14" ht="15.75" x14ac:dyDescent="0.25">
      <c r="F120" s="59"/>
      <c r="G120" s="60"/>
      <c r="H120" s="60"/>
      <c r="I120" s="60"/>
      <c r="J120" s="60"/>
      <c r="K120" s="60"/>
      <c r="L120" s="60"/>
      <c r="M120" s="60"/>
      <c r="N120" s="60"/>
    </row>
    <row r="121" spans="6:14" ht="15.75" x14ac:dyDescent="0.25">
      <c r="F121" s="59"/>
      <c r="G121" s="60"/>
      <c r="H121" s="60"/>
      <c r="I121" s="60"/>
      <c r="J121" s="60"/>
      <c r="K121" s="60"/>
      <c r="L121" s="60"/>
      <c r="M121" s="60"/>
      <c r="N121" s="60"/>
    </row>
    <row r="122" spans="6:14" ht="15.75" x14ac:dyDescent="0.25">
      <c r="F122" s="59"/>
      <c r="G122" s="60"/>
      <c r="H122" s="60"/>
      <c r="I122" s="60"/>
      <c r="J122" s="60"/>
      <c r="K122" s="60"/>
      <c r="L122" s="60"/>
      <c r="M122" s="60"/>
      <c r="N122" s="60"/>
    </row>
    <row r="123" spans="6:14" ht="15.75" x14ac:dyDescent="0.25">
      <c r="F123" s="59"/>
      <c r="G123" s="60"/>
      <c r="H123" s="60"/>
      <c r="I123" s="60"/>
      <c r="J123" s="60"/>
      <c r="K123" s="60"/>
      <c r="L123" s="60"/>
      <c r="M123" s="60"/>
      <c r="N123" s="60"/>
    </row>
    <row r="124" spans="6:14" ht="15.75" x14ac:dyDescent="0.25">
      <c r="F124" s="59"/>
      <c r="G124" s="60"/>
      <c r="H124" s="60"/>
      <c r="I124" s="60"/>
      <c r="J124" s="60"/>
      <c r="K124" s="60"/>
      <c r="L124" s="60"/>
      <c r="M124" s="60"/>
      <c r="N124" s="60"/>
    </row>
    <row r="125" spans="6:14" ht="15.75" x14ac:dyDescent="0.25">
      <c r="F125" s="59"/>
      <c r="G125" s="60"/>
      <c r="H125" s="60"/>
      <c r="I125" s="60"/>
      <c r="J125" s="60"/>
      <c r="K125" s="60"/>
      <c r="L125" s="60"/>
      <c r="M125" s="60"/>
      <c r="N125" s="60"/>
    </row>
    <row r="126" spans="6:14" ht="15.75" x14ac:dyDescent="0.25">
      <c r="F126" s="59"/>
      <c r="G126" s="60"/>
      <c r="H126" s="60"/>
      <c r="I126" s="60"/>
      <c r="J126" s="60"/>
      <c r="K126" s="60"/>
      <c r="L126" s="60"/>
      <c r="M126" s="60"/>
      <c r="N126" s="60"/>
    </row>
    <row r="127" spans="6:14" ht="15.75" x14ac:dyDescent="0.25">
      <c r="F127" s="59"/>
      <c r="G127" s="60"/>
      <c r="H127" s="60"/>
      <c r="I127" s="60"/>
      <c r="J127" s="60"/>
      <c r="K127" s="60"/>
      <c r="L127" s="60"/>
      <c r="M127" s="60"/>
      <c r="N127" s="60"/>
    </row>
    <row r="128" spans="6:14" ht="15.75" x14ac:dyDescent="0.25">
      <c r="F128" s="59"/>
      <c r="G128" s="60"/>
      <c r="H128" s="60"/>
      <c r="I128" s="60"/>
      <c r="J128" s="60"/>
      <c r="K128" s="60"/>
      <c r="L128" s="60"/>
      <c r="M128" s="60"/>
      <c r="N128" s="60"/>
    </row>
    <row r="129" spans="6:14" ht="15.75" x14ac:dyDescent="0.25">
      <c r="F129" s="59"/>
      <c r="G129" s="60"/>
      <c r="H129" s="60"/>
      <c r="I129" s="60"/>
      <c r="J129" s="60"/>
      <c r="K129" s="60"/>
      <c r="L129" s="60"/>
      <c r="M129" s="60"/>
      <c r="N129" s="60"/>
    </row>
    <row r="130" spans="6:14" ht="15.75" x14ac:dyDescent="0.25">
      <c r="F130" s="59"/>
      <c r="G130" s="60"/>
      <c r="H130" s="60"/>
      <c r="I130" s="60"/>
      <c r="J130" s="60"/>
      <c r="K130" s="60"/>
      <c r="L130" s="60"/>
      <c r="M130" s="60"/>
      <c r="N130" s="60"/>
    </row>
    <row r="131" spans="6:14" ht="15.75" x14ac:dyDescent="0.25">
      <c r="F131" s="59"/>
      <c r="G131" s="60"/>
      <c r="H131" s="60"/>
      <c r="I131" s="60"/>
      <c r="J131" s="60"/>
      <c r="K131" s="60"/>
      <c r="L131" s="60"/>
      <c r="M131" s="60"/>
      <c r="N131" s="60"/>
    </row>
    <row r="132" spans="6:14" ht="15.75" x14ac:dyDescent="0.25">
      <c r="F132" s="59"/>
      <c r="G132" s="60"/>
      <c r="H132" s="60"/>
      <c r="I132" s="60"/>
      <c r="J132" s="60"/>
      <c r="K132" s="60"/>
      <c r="L132" s="60"/>
      <c r="M132" s="60"/>
      <c r="N132" s="60"/>
    </row>
    <row r="133" spans="6:14" ht="15.75" x14ac:dyDescent="0.25">
      <c r="F133" s="59"/>
      <c r="G133" s="60"/>
      <c r="H133" s="60"/>
      <c r="I133" s="60"/>
      <c r="J133" s="60"/>
      <c r="K133" s="60"/>
      <c r="L133" s="60"/>
      <c r="M133" s="60"/>
      <c r="N133" s="60"/>
    </row>
    <row r="134" spans="6:14" ht="15.75" x14ac:dyDescent="0.25">
      <c r="F134" s="59"/>
      <c r="G134" s="60"/>
      <c r="H134" s="60"/>
      <c r="I134" s="60"/>
      <c r="J134" s="60"/>
      <c r="K134" s="60"/>
      <c r="L134" s="60"/>
      <c r="M134" s="60"/>
      <c r="N134" s="60"/>
    </row>
    <row r="135" spans="6:14" ht="15.75" x14ac:dyDescent="0.25">
      <c r="F135" s="59"/>
      <c r="G135" s="60"/>
      <c r="H135" s="60"/>
      <c r="I135" s="60"/>
      <c r="J135" s="60"/>
      <c r="K135" s="60"/>
      <c r="L135" s="60"/>
      <c r="M135" s="60"/>
      <c r="N135" s="60"/>
    </row>
    <row r="136" spans="6:14" ht="15.75" x14ac:dyDescent="0.25">
      <c r="F136" s="59"/>
      <c r="G136" s="60"/>
      <c r="H136" s="60"/>
      <c r="I136" s="60"/>
      <c r="J136" s="60"/>
      <c r="K136" s="60"/>
      <c r="L136" s="60"/>
      <c r="M136" s="60"/>
      <c r="N136" s="60"/>
    </row>
    <row r="137" spans="6:14" ht="15.75" x14ac:dyDescent="0.25">
      <c r="F137" s="59"/>
      <c r="G137" s="60"/>
      <c r="H137" s="60"/>
      <c r="I137" s="60"/>
      <c r="J137" s="60"/>
      <c r="K137" s="60"/>
      <c r="L137" s="60"/>
      <c r="M137" s="60"/>
      <c r="N137" s="60"/>
    </row>
    <row r="138" spans="6:14" ht="15.75" x14ac:dyDescent="0.25">
      <c r="F138" s="59"/>
      <c r="G138" s="60"/>
      <c r="H138" s="60"/>
      <c r="I138" s="60"/>
      <c r="J138" s="60"/>
      <c r="K138" s="60"/>
      <c r="L138" s="60"/>
      <c r="M138" s="60"/>
      <c r="N138" s="60"/>
    </row>
    <row r="139" spans="6:14" ht="15.75" x14ac:dyDescent="0.25">
      <c r="F139" s="59"/>
      <c r="G139" s="60"/>
      <c r="H139" s="60"/>
      <c r="I139" s="60"/>
      <c r="J139" s="60"/>
      <c r="K139" s="60"/>
      <c r="L139" s="60"/>
      <c r="M139" s="60"/>
      <c r="N139" s="60"/>
    </row>
    <row r="140" spans="6:14" ht="15.75" x14ac:dyDescent="0.25">
      <c r="F140" s="59"/>
      <c r="G140" s="60"/>
      <c r="H140" s="60"/>
      <c r="I140" s="60"/>
      <c r="J140" s="60"/>
      <c r="K140" s="60"/>
      <c r="L140" s="60"/>
      <c r="M140" s="60"/>
      <c r="N140" s="60"/>
    </row>
    <row r="141" spans="6:14" ht="15.75" x14ac:dyDescent="0.25">
      <c r="F141" s="59"/>
      <c r="G141" s="60"/>
      <c r="H141" s="60"/>
      <c r="I141" s="60"/>
      <c r="J141" s="60"/>
      <c r="K141" s="60"/>
      <c r="L141" s="60"/>
      <c r="M141" s="60"/>
      <c r="N141" s="60"/>
    </row>
    <row r="142" spans="6:14" ht="15.75" x14ac:dyDescent="0.25">
      <c r="F142" s="59"/>
      <c r="G142" s="60"/>
      <c r="H142" s="60"/>
      <c r="I142" s="60"/>
      <c r="J142" s="60"/>
      <c r="K142" s="60"/>
      <c r="L142" s="60"/>
      <c r="M142" s="60"/>
      <c r="N142" s="60"/>
    </row>
    <row r="143" spans="6:14" ht="15.75" x14ac:dyDescent="0.25">
      <c r="F143" s="59"/>
      <c r="G143" s="60"/>
      <c r="H143" s="60"/>
      <c r="I143" s="60"/>
      <c r="J143" s="60"/>
      <c r="K143" s="60"/>
      <c r="L143" s="60"/>
      <c r="M143" s="60"/>
      <c r="N143" s="60"/>
    </row>
    <row r="144" spans="6:14" ht="15.75" x14ac:dyDescent="0.25">
      <c r="F144" s="59"/>
      <c r="G144" s="60"/>
      <c r="H144" s="60"/>
      <c r="I144" s="60"/>
      <c r="J144" s="60"/>
      <c r="K144" s="60"/>
      <c r="L144" s="60"/>
      <c r="M144" s="60"/>
      <c r="N144" s="60"/>
    </row>
    <row r="145" spans="6:14" ht="15.75" x14ac:dyDescent="0.25">
      <c r="F145" s="59"/>
      <c r="G145" s="60"/>
      <c r="H145" s="60"/>
      <c r="I145" s="60"/>
      <c r="J145" s="60"/>
      <c r="K145" s="60"/>
      <c r="L145" s="60"/>
      <c r="M145" s="60"/>
      <c r="N145" s="60"/>
    </row>
    <row r="146" spans="6:14" ht="15.75" x14ac:dyDescent="0.25">
      <c r="F146" s="59"/>
      <c r="G146" s="60"/>
      <c r="H146" s="60"/>
      <c r="I146" s="60"/>
      <c r="J146" s="60"/>
      <c r="K146" s="60"/>
      <c r="L146" s="60"/>
      <c r="M146" s="60"/>
      <c r="N146" s="60"/>
    </row>
    <row r="147" spans="6:14" ht="15.75" x14ac:dyDescent="0.25">
      <c r="F147" s="59"/>
      <c r="G147" s="60"/>
      <c r="H147" s="60"/>
      <c r="I147" s="60"/>
      <c r="J147" s="60"/>
      <c r="K147" s="60"/>
      <c r="L147" s="60"/>
      <c r="M147" s="60"/>
      <c r="N147" s="60"/>
    </row>
    <row r="148" spans="6:14" ht="15.75" x14ac:dyDescent="0.25">
      <c r="F148" s="59"/>
      <c r="G148" s="60"/>
      <c r="H148" s="60"/>
      <c r="I148" s="60"/>
      <c r="J148" s="60"/>
      <c r="K148" s="60"/>
      <c r="L148" s="60"/>
      <c r="M148" s="60"/>
      <c r="N148" s="60"/>
    </row>
    <row r="149" spans="6:14" ht="15.75" x14ac:dyDescent="0.25">
      <c r="F149" s="59"/>
      <c r="G149" s="60"/>
      <c r="H149" s="60"/>
      <c r="I149" s="60"/>
      <c r="J149" s="60"/>
      <c r="K149" s="60"/>
      <c r="L149" s="60"/>
      <c r="M149" s="60"/>
      <c r="N149" s="60"/>
    </row>
    <row r="150" spans="6:14" ht="15.75" x14ac:dyDescent="0.25">
      <c r="F150" s="59"/>
      <c r="G150" s="60"/>
      <c r="H150" s="60"/>
      <c r="I150" s="60"/>
      <c r="J150" s="60"/>
      <c r="K150" s="60"/>
      <c r="L150" s="60"/>
      <c r="M150" s="60"/>
      <c r="N150" s="60"/>
    </row>
    <row r="151" spans="6:14" ht="15.75" x14ac:dyDescent="0.25">
      <c r="F151" s="59"/>
      <c r="G151" s="60"/>
      <c r="H151" s="60"/>
      <c r="I151" s="60"/>
      <c r="J151" s="60"/>
      <c r="K151" s="60"/>
      <c r="L151" s="60"/>
      <c r="M151" s="60"/>
      <c r="N151" s="60"/>
    </row>
    <row r="152" spans="6:14" ht="15.75" x14ac:dyDescent="0.25">
      <c r="F152" s="59"/>
      <c r="G152" s="60"/>
      <c r="H152" s="60"/>
      <c r="I152" s="60"/>
      <c r="J152" s="60"/>
      <c r="K152" s="60"/>
      <c r="L152" s="60"/>
      <c r="M152" s="60"/>
      <c r="N152" s="60"/>
    </row>
    <row r="153" spans="6:14" ht="15.75" x14ac:dyDescent="0.25">
      <c r="F153" s="59"/>
      <c r="G153" s="60"/>
      <c r="H153" s="60"/>
      <c r="I153" s="60"/>
      <c r="J153" s="60"/>
      <c r="K153" s="60"/>
      <c r="L153" s="60"/>
      <c r="M153" s="60"/>
      <c r="N153" s="60"/>
    </row>
    <row r="154" spans="6:14" ht="15.75" x14ac:dyDescent="0.25">
      <c r="F154" s="59"/>
      <c r="G154" s="60"/>
      <c r="H154" s="60"/>
      <c r="I154" s="60"/>
      <c r="J154" s="60"/>
      <c r="K154" s="60"/>
      <c r="L154" s="60"/>
      <c r="M154" s="60"/>
      <c r="N154" s="60"/>
    </row>
    <row r="155" spans="6:14" ht="15.75" x14ac:dyDescent="0.25">
      <c r="F155" s="59"/>
      <c r="G155" s="60"/>
      <c r="H155" s="60"/>
      <c r="I155" s="60"/>
      <c r="J155" s="60"/>
      <c r="K155" s="60"/>
      <c r="L155" s="60"/>
      <c r="M155" s="60"/>
      <c r="N155" s="60"/>
    </row>
    <row r="156" spans="6:14" ht="15.75" x14ac:dyDescent="0.25">
      <c r="F156" s="59"/>
      <c r="G156" s="60"/>
      <c r="H156" s="60"/>
      <c r="I156" s="60"/>
      <c r="J156" s="60"/>
      <c r="K156" s="60"/>
      <c r="L156" s="60"/>
      <c r="M156" s="60"/>
      <c r="N156" s="60"/>
    </row>
    <row r="157" spans="6:14" ht="15.75" x14ac:dyDescent="0.25">
      <c r="F157" s="59"/>
      <c r="G157" s="60"/>
      <c r="H157" s="60"/>
      <c r="I157" s="60"/>
      <c r="J157" s="60"/>
      <c r="K157" s="60"/>
      <c r="L157" s="60"/>
      <c r="M157" s="60"/>
      <c r="N157" s="60"/>
    </row>
    <row r="158" spans="6:14" ht="15.75" x14ac:dyDescent="0.25">
      <c r="F158" s="59"/>
      <c r="G158" s="60"/>
      <c r="H158" s="60"/>
      <c r="I158" s="60"/>
      <c r="J158" s="60"/>
      <c r="K158" s="60"/>
      <c r="L158" s="60"/>
      <c r="M158" s="60"/>
      <c r="N158" s="60"/>
    </row>
    <row r="159" spans="6:14" ht="15.75" x14ac:dyDescent="0.25">
      <c r="F159" s="59"/>
      <c r="G159" s="60"/>
      <c r="H159" s="60"/>
      <c r="I159" s="60"/>
      <c r="J159" s="60"/>
      <c r="K159" s="60"/>
      <c r="L159" s="60"/>
      <c r="M159" s="60"/>
      <c r="N159" s="60"/>
    </row>
    <row r="160" spans="6:14" ht="15.75" x14ac:dyDescent="0.25">
      <c r="F160" s="59"/>
      <c r="G160" s="60"/>
      <c r="H160" s="60"/>
      <c r="I160" s="60"/>
      <c r="J160" s="60"/>
      <c r="K160" s="60"/>
      <c r="L160" s="60"/>
      <c r="M160" s="60"/>
      <c r="N160" s="60"/>
    </row>
    <row r="161" spans="6:14" ht="15.75" x14ac:dyDescent="0.25">
      <c r="F161" s="59"/>
      <c r="G161" s="60"/>
      <c r="H161" s="60"/>
      <c r="I161" s="60"/>
      <c r="J161" s="60"/>
      <c r="K161" s="60"/>
      <c r="L161" s="60"/>
      <c r="M161" s="60"/>
      <c r="N161" s="60"/>
    </row>
    <row r="162" spans="6:14" ht="15.75" x14ac:dyDescent="0.25">
      <c r="F162" s="59"/>
      <c r="G162" s="60"/>
      <c r="H162" s="60"/>
      <c r="I162" s="60"/>
      <c r="J162" s="60"/>
      <c r="K162" s="60"/>
      <c r="L162" s="60"/>
      <c r="M162" s="60"/>
      <c r="N162" s="60"/>
    </row>
    <row r="163" spans="6:14" ht="15.75" x14ac:dyDescent="0.25">
      <c r="F163" s="59"/>
      <c r="G163" s="60"/>
      <c r="H163" s="60"/>
      <c r="I163" s="60"/>
      <c r="J163" s="60"/>
      <c r="K163" s="60"/>
      <c r="L163" s="60"/>
      <c r="M163" s="60"/>
      <c r="N163" s="60"/>
    </row>
    <row r="164" spans="6:14" ht="15.75" x14ac:dyDescent="0.25">
      <c r="F164" s="59"/>
      <c r="G164" s="60"/>
      <c r="H164" s="60"/>
      <c r="I164" s="60"/>
      <c r="J164" s="60"/>
      <c r="K164" s="60"/>
      <c r="L164" s="60"/>
      <c r="M164" s="60"/>
      <c r="N164" s="60"/>
    </row>
    <row r="165" spans="6:14" ht="15.75" x14ac:dyDescent="0.25">
      <c r="F165" s="59"/>
      <c r="G165" s="60"/>
      <c r="H165" s="60"/>
      <c r="I165" s="60"/>
      <c r="J165" s="60"/>
      <c r="K165" s="60"/>
      <c r="L165" s="60"/>
      <c r="M165" s="60"/>
      <c r="N165" s="60"/>
    </row>
    <row r="166" spans="6:14" ht="15.75" x14ac:dyDescent="0.25">
      <c r="F166" s="59"/>
      <c r="G166" s="60"/>
      <c r="H166" s="60"/>
      <c r="I166" s="60"/>
      <c r="J166" s="60"/>
      <c r="K166" s="60"/>
      <c r="L166" s="60"/>
      <c r="M166" s="60"/>
      <c r="N166" s="60"/>
    </row>
    <row r="167" spans="6:14" ht="15.75" x14ac:dyDescent="0.25">
      <c r="F167" s="59"/>
      <c r="G167" s="60"/>
      <c r="H167" s="60"/>
      <c r="I167" s="60"/>
      <c r="J167" s="60"/>
      <c r="K167" s="60"/>
      <c r="L167" s="60"/>
      <c r="M167" s="60"/>
      <c r="N167" s="60"/>
    </row>
    <row r="168" spans="6:14" ht="15.75" x14ac:dyDescent="0.25">
      <c r="F168" s="59"/>
      <c r="G168" s="60"/>
      <c r="H168" s="60"/>
      <c r="I168" s="60"/>
      <c r="J168" s="60"/>
      <c r="K168" s="60"/>
      <c r="L168" s="60"/>
      <c r="M168" s="60"/>
      <c r="N168" s="60"/>
    </row>
    <row r="169" spans="6:14" ht="15.75" x14ac:dyDescent="0.25">
      <c r="F169" s="59"/>
      <c r="G169" s="60"/>
      <c r="H169" s="60"/>
      <c r="I169" s="60"/>
      <c r="J169" s="60"/>
      <c r="K169" s="60"/>
      <c r="L169" s="60"/>
      <c r="M169" s="60"/>
      <c r="N169" s="60"/>
    </row>
    <row r="170" spans="6:14" ht="15.75" x14ac:dyDescent="0.25">
      <c r="F170" s="59"/>
      <c r="G170" s="60"/>
      <c r="H170" s="60"/>
      <c r="I170" s="60"/>
      <c r="J170" s="60"/>
      <c r="K170" s="60"/>
      <c r="L170" s="60"/>
      <c r="M170" s="60"/>
      <c r="N170" s="60"/>
    </row>
    <row r="171" spans="6:14" ht="15.75" x14ac:dyDescent="0.25">
      <c r="F171" s="59"/>
      <c r="G171" s="60"/>
      <c r="H171" s="60"/>
      <c r="I171" s="60"/>
      <c r="J171" s="60"/>
      <c r="K171" s="60"/>
      <c r="L171" s="60"/>
      <c r="M171" s="60"/>
      <c r="N171" s="60"/>
    </row>
    <row r="172" spans="6:14" ht="15.75" x14ac:dyDescent="0.25">
      <c r="F172" s="59"/>
      <c r="G172" s="60"/>
      <c r="H172" s="60"/>
      <c r="I172" s="60"/>
      <c r="J172" s="60"/>
      <c r="K172" s="60"/>
      <c r="L172" s="60"/>
      <c r="M172" s="60"/>
      <c r="N172" s="60"/>
    </row>
    <row r="173" spans="6:14" ht="15.75" x14ac:dyDescent="0.25">
      <c r="F173" s="59"/>
      <c r="G173" s="60"/>
      <c r="H173" s="60"/>
      <c r="I173" s="60"/>
      <c r="J173" s="60"/>
      <c r="K173" s="60"/>
      <c r="L173" s="60"/>
      <c r="M173" s="60"/>
      <c r="N173" s="60"/>
    </row>
    <row r="174" spans="6:14" ht="15.75" x14ac:dyDescent="0.25">
      <c r="F174" s="59"/>
      <c r="G174" s="60"/>
      <c r="H174" s="60"/>
      <c r="I174" s="60"/>
      <c r="J174" s="60"/>
      <c r="K174" s="60"/>
      <c r="L174" s="60"/>
      <c r="M174" s="60"/>
      <c r="N174" s="60"/>
    </row>
    <row r="175" spans="6:14" ht="15.75" x14ac:dyDescent="0.25">
      <c r="F175" s="59"/>
      <c r="G175" s="60"/>
      <c r="H175" s="60"/>
      <c r="I175" s="60"/>
      <c r="J175" s="60"/>
      <c r="K175" s="60"/>
      <c r="L175" s="60"/>
      <c r="M175" s="60"/>
      <c r="N175" s="60"/>
    </row>
    <row r="176" spans="6:14" ht="15.75" x14ac:dyDescent="0.25">
      <c r="F176" s="59"/>
      <c r="G176" s="60"/>
      <c r="H176" s="60"/>
      <c r="I176" s="60"/>
      <c r="J176" s="60"/>
      <c r="K176" s="60"/>
      <c r="L176" s="60"/>
      <c r="M176" s="60"/>
      <c r="N176" s="60"/>
    </row>
    <row r="177" spans="6:14" ht="15.75" x14ac:dyDescent="0.25">
      <c r="F177" s="59"/>
      <c r="G177" s="60"/>
      <c r="H177" s="60"/>
      <c r="I177" s="60"/>
      <c r="J177" s="60"/>
      <c r="K177" s="60"/>
      <c r="L177" s="60"/>
      <c r="M177" s="60"/>
      <c r="N177" s="60"/>
    </row>
    <row r="178" spans="6:14" ht="15.75" x14ac:dyDescent="0.25">
      <c r="F178" s="59"/>
      <c r="G178" s="60"/>
      <c r="H178" s="60"/>
      <c r="I178" s="60"/>
      <c r="J178" s="60"/>
      <c r="K178" s="60"/>
      <c r="L178" s="60"/>
      <c r="M178" s="60"/>
      <c r="N178" s="60"/>
    </row>
    <row r="179" spans="6:14" ht="15.75" x14ac:dyDescent="0.25">
      <c r="F179" s="59"/>
      <c r="G179" s="60"/>
      <c r="H179" s="60"/>
      <c r="I179" s="60"/>
      <c r="J179" s="60"/>
      <c r="K179" s="60"/>
      <c r="L179" s="60"/>
      <c r="M179" s="60"/>
      <c r="N179" s="60"/>
    </row>
    <row r="180" spans="6:14" ht="15.75" x14ac:dyDescent="0.25">
      <c r="F180" s="59"/>
      <c r="G180" s="60"/>
      <c r="H180" s="60"/>
      <c r="I180" s="60"/>
      <c r="J180" s="60"/>
      <c r="K180" s="60"/>
      <c r="L180" s="60"/>
      <c r="M180" s="60"/>
      <c r="N180" s="60"/>
    </row>
    <row r="181" spans="6:14" ht="15.75" x14ac:dyDescent="0.25">
      <c r="F181" s="59"/>
      <c r="G181" s="60"/>
      <c r="H181" s="60"/>
      <c r="I181" s="60"/>
      <c r="J181" s="60"/>
      <c r="K181" s="60"/>
      <c r="L181" s="60"/>
      <c r="M181" s="60"/>
      <c r="N181" s="60"/>
    </row>
    <row r="182" spans="6:14" ht="15.75" x14ac:dyDescent="0.25">
      <c r="F182" s="59"/>
      <c r="G182" s="60"/>
      <c r="H182" s="60"/>
      <c r="I182" s="60"/>
      <c r="J182" s="60"/>
      <c r="K182" s="60"/>
      <c r="L182" s="60"/>
      <c r="M182" s="60"/>
      <c r="N182" s="60"/>
    </row>
    <row r="183" spans="6:14" ht="15.75" x14ac:dyDescent="0.25">
      <c r="F183" s="59"/>
      <c r="G183" s="60"/>
      <c r="H183" s="60"/>
      <c r="I183" s="60"/>
      <c r="J183" s="60"/>
      <c r="K183" s="60"/>
      <c r="L183" s="60"/>
      <c r="M183" s="60"/>
      <c r="N183" s="60"/>
    </row>
    <row r="184" spans="6:14" ht="15.75" x14ac:dyDescent="0.25">
      <c r="F184" s="59"/>
      <c r="G184" s="60"/>
      <c r="H184" s="60"/>
      <c r="I184" s="60"/>
      <c r="J184" s="60"/>
      <c r="K184" s="60"/>
      <c r="L184" s="60"/>
      <c r="M184" s="60"/>
      <c r="N184" s="60"/>
    </row>
    <row r="185" spans="6:14" ht="15.75" x14ac:dyDescent="0.25">
      <c r="F185" s="59"/>
      <c r="G185" s="60"/>
      <c r="H185" s="60"/>
      <c r="I185" s="60"/>
      <c r="J185" s="60"/>
      <c r="K185" s="60"/>
      <c r="L185" s="60"/>
      <c r="M185" s="60"/>
      <c r="N185" s="60"/>
    </row>
    <row r="186" spans="6:14" ht="15.75" x14ac:dyDescent="0.25">
      <c r="F186" s="59"/>
      <c r="G186" s="60"/>
      <c r="H186" s="60"/>
      <c r="I186" s="60"/>
      <c r="J186" s="60"/>
      <c r="K186" s="60"/>
      <c r="L186" s="60"/>
      <c r="M186" s="60"/>
      <c r="N186" s="60"/>
    </row>
    <row r="187" spans="6:14" ht="15.75" x14ac:dyDescent="0.25">
      <c r="F187" s="59"/>
      <c r="G187" s="60"/>
      <c r="H187" s="60"/>
      <c r="I187" s="60"/>
      <c r="J187" s="60"/>
      <c r="K187" s="60"/>
      <c r="L187" s="60"/>
      <c r="M187" s="60"/>
      <c r="N187" s="60"/>
    </row>
    <row r="188" spans="6:14" ht="15.75" x14ac:dyDescent="0.25">
      <c r="F188" s="59"/>
      <c r="G188" s="60"/>
      <c r="H188" s="60"/>
      <c r="I188" s="60"/>
      <c r="J188" s="60"/>
      <c r="K188" s="60"/>
      <c r="L188" s="60"/>
      <c r="M188" s="60"/>
      <c r="N188" s="60"/>
    </row>
    <row r="189" spans="6:14" ht="15.75" x14ac:dyDescent="0.25">
      <c r="F189" s="59"/>
      <c r="G189" s="60"/>
      <c r="H189" s="60"/>
      <c r="I189" s="60"/>
      <c r="J189" s="60"/>
      <c r="K189" s="60"/>
      <c r="L189" s="60"/>
      <c r="M189" s="60"/>
      <c r="N189" s="60"/>
    </row>
    <row r="190" spans="6:14" ht="15.75" x14ac:dyDescent="0.25">
      <c r="F190" s="59"/>
      <c r="G190" s="60"/>
      <c r="H190" s="60"/>
      <c r="I190" s="60"/>
      <c r="J190" s="60"/>
      <c r="K190" s="60"/>
      <c r="L190" s="60"/>
      <c r="M190" s="60"/>
      <c r="N190" s="60"/>
    </row>
    <row r="191" spans="6:14" ht="15.75" x14ac:dyDescent="0.25">
      <c r="F191" s="59"/>
      <c r="G191" s="60"/>
      <c r="H191" s="60"/>
      <c r="I191" s="60"/>
      <c r="J191" s="60"/>
      <c r="K191" s="60"/>
      <c r="L191" s="60"/>
      <c r="M191" s="60"/>
      <c r="N191" s="60"/>
    </row>
    <row r="192" spans="6:14" ht="15.75" x14ac:dyDescent="0.25">
      <c r="F192" s="59"/>
      <c r="G192" s="60"/>
      <c r="H192" s="60"/>
      <c r="I192" s="60"/>
      <c r="J192" s="60"/>
      <c r="K192" s="60"/>
      <c r="L192" s="60"/>
      <c r="M192" s="60"/>
      <c r="N192" s="60"/>
    </row>
    <row r="193" spans="6:14" ht="15.75" x14ac:dyDescent="0.25">
      <c r="F193" s="59"/>
      <c r="G193" s="60"/>
      <c r="H193" s="60"/>
      <c r="I193" s="60"/>
      <c r="J193" s="60"/>
      <c r="K193" s="60"/>
      <c r="L193" s="60"/>
      <c r="M193" s="60"/>
      <c r="N193" s="60"/>
    </row>
    <row r="194" spans="6:14" ht="15.75" x14ac:dyDescent="0.25">
      <c r="F194" s="59"/>
      <c r="G194" s="60"/>
      <c r="H194" s="60"/>
      <c r="I194" s="60"/>
      <c r="J194" s="60"/>
      <c r="K194" s="60"/>
      <c r="L194" s="60"/>
      <c r="M194" s="60"/>
      <c r="N194" s="60"/>
    </row>
    <row r="195" spans="6:14" ht="15.75" x14ac:dyDescent="0.25">
      <c r="F195" s="59"/>
      <c r="G195" s="60"/>
      <c r="H195" s="60"/>
      <c r="I195" s="60"/>
      <c r="J195" s="60"/>
      <c r="K195" s="60"/>
      <c r="L195" s="60"/>
      <c r="M195" s="60"/>
      <c r="N195" s="60"/>
    </row>
    <row r="196" spans="6:14" ht="15.75" x14ac:dyDescent="0.25">
      <c r="F196" s="59"/>
      <c r="G196" s="60"/>
      <c r="H196" s="60"/>
      <c r="I196" s="60"/>
      <c r="J196" s="60"/>
      <c r="K196" s="60"/>
      <c r="L196" s="60"/>
      <c r="M196" s="60"/>
      <c r="N196" s="60"/>
    </row>
    <row r="197" spans="6:14" ht="15.75" x14ac:dyDescent="0.25">
      <c r="F197" s="59"/>
      <c r="G197" s="60"/>
      <c r="H197" s="60"/>
      <c r="I197" s="60"/>
      <c r="J197" s="60"/>
      <c r="K197" s="60"/>
      <c r="L197" s="60"/>
      <c r="M197" s="60"/>
      <c r="N197" s="60"/>
    </row>
    <row r="198" spans="6:14" ht="15.75" x14ac:dyDescent="0.25">
      <c r="F198" s="59"/>
      <c r="G198" s="60"/>
      <c r="H198" s="60"/>
      <c r="I198" s="60"/>
      <c r="J198" s="60"/>
      <c r="K198" s="60"/>
      <c r="L198" s="60"/>
      <c r="M198" s="60"/>
      <c r="N198" s="60"/>
    </row>
    <row r="199" spans="6:14" ht="15.75" x14ac:dyDescent="0.25">
      <c r="F199" s="59"/>
      <c r="G199" s="60"/>
      <c r="H199" s="60"/>
      <c r="I199" s="60"/>
      <c r="J199" s="60"/>
      <c r="K199" s="60"/>
      <c r="L199" s="60"/>
      <c r="M199" s="60"/>
      <c r="N199" s="60"/>
    </row>
    <row r="200" spans="6:14" ht="15.75" x14ac:dyDescent="0.25">
      <c r="F200" s="59"/>
      <c r="G200" s="60"/>
      <c r="H200" s="60"/>
      <c r="I200" s="60"/>
      <c r="J200" s="60"/>
      <c r="K200" s="60"/>
      <c r="L200" s="60"/>
      <c r="M200" s="60"/>
      <c r="N200" s="60"/>
    </row>
    <row r="201" spans="6:14" ht="15.75" x14ac:dyDescent="0.25">
      <c r="F201" s="59"/>
      <c r="G201" s="60"/>
      <c r="H201" s="60"/>
      <c r="I201" s="60"/>
      <c r="J201" s="60"/>
      <c r="K201" s="60"/>
      <c r="L201" s="60"/>
      <c r="M201" s="60"/>
      <c r="N201" s="60"/>
    </row>
    <row r="202" spans="6:14" ht="15.75" x14ac:dyDescent="0.25">
      <c r="F202" s="59"/>
      <c r="G202" s="60"/>
      <c r="H202" s="60"/>
      <c r="I202" s="60"/>
      <c r="J202" s="60"/>
      <c r="K202" s="60"/>
      <c r="L202" s="60"/>
      <c r="M202" s="60"/>
      <c r="N202" s="60"/>
    </row>
    <row r="203" spans="6:14" ht="15.75" x14ac:dyDescent="0.25">
      <c r="F203" s="59"/>
      <c r="G203" s="60"/>
      <c r="H203" s="60"/>
      <c r="I203" s="60"/>
      <c r="J203" s="60"/>
      <c r="K203" s="60"/>
      <c r="L203" s="60"/>
      <c r="M203" s="60"/>
      <c r="N203" s="60"/>
    </row>
    <row r="204" spans="6:14" ht="15.75" x14ac:dyDescent="0.25">
      <c r="F204" s="59"/>
      <c r="G204" s="60"/>
      <c r="H204" s="60"/>
      <c r="I204" s="60"/>
      <c r="J204" s="60"/>
      <c r="K204" s="60"/>
      <c r="L204" s="60"/>
      <c r="M204" s="60"/>
      <c r="N204" s="60"/>
    </row>
    <row r="205" spans="6:14" ht="15.75" x14ac:dyDescent="0.25">
      <c r="F205" s="59"/>
      <c r="G205" s="60"/>
      <c r="H205" s="60"/>
      <c r="I205" s="60"/>
      <c r="J205" s="60"/>
      <c r="K205" s="60"/>
      <c r="L205" s="60"/>
      <c r="M205" s="60"/>
      <c r="N205" s="60"/>
    </row>
    <row r="206" spans="6:14" ht="15.75" x14ac:dyDescent="0.25">
      <c r="F206" s="59"/>
      <c r="G206" s="60"/>
      <c r="H206" s="60"/>
      <c r="I206" s="60"/>
      <c r="J206" s="60"/>
      <c r="K206" s="60"/>
      <c r="L206" s="60"/>
      <c r="M206" s="60"/>
      <c r="N206" s="60"/>
    </row>
    <row r="207" spans="6:14" ht="15.75" x14ac:dyDescent="0.25">
      <c r="F207" s="59"/>
      <c r="G207" s="60"/>
      <c r="H207" s="60"/>
      <c r="I207" s="60"/>
      <c r="J207" s="60"/>
      <c r="K207" s="60"/>
      <c r="L207" s="60"/>
      <c r="M207" s="60"/>
      <c r="N207" s="60"/>
    </row>
    <row r="208" spans="6:14" ht="15.75" x14ac:dyDescent="0.25">
      <c r="F208" s="59"/>
      <c r="G208" s="60"/>
      <c r="H208" s="60"/>
      <c r="I208" s="60"/>
      <c r="J208" s="60"/>
      <c r="K208" s="60"/>
      <c r="L208" s="60"/>
      <c r="M208" s="60"/>
      <c r="N208" s="60"/>
    </row>
    <row r="209" spans="6:14" ht="15.75" x14ac:dyDescent="0.25">
      <c r="F209" s="59"/>
      <c r="G209" s="60"/>
      <c r="H209" s="60"/>
      <c r="I209" s="60"/>
      <c r="J209" s="60"/>
      <c r="K209" s="60"/>
      <c r="L209" s="60"/>
      <c r="M209" s="60"/>
      <c r="N209" s="60"/>
    </row>
    <row r="210" spans="6:14" ht="15.75" x14ac:dyDescent="0.25">
      <c r="F210" s="59"/>
      <c r="G210" s="60"/>
      <c r="H210" s="60"/>
      <c r="I210" s="60"/>
      <c r="J210" s="60"/>
      <c r="K210" s="60"/>
      <c r="L210" s="60"/>
      <c r="M210" s="60"/>
      <c r="N210" s="60"/>
    </row>
    <row r="211" spans="6:14" ht="15.75" x14ac:dyDescent="0.25">
      <c r="F211" s="59"/>
      <c r="G211" s="60"/>
      <c r="H211" s="60"/>
      <c r="I211" s="60"/>
      <c r="J211" s="60"/>
      <c r="K211" s="60"/>
      <c r="L211" s="60"/>
      <c r="M211" s="60"/>
      <c r="N211" s="60"/>
    </row>
    <row r="212" spans="6:14" ht="15.75" x14ac:dyDescent="0.25">
      <c r="F212" s="59"/>
      <c r="G212" s="60"/>
      <c r="H212" s="60"/>
      <c r="I212" s="60"/>
      <c r="J212" s="60"/>
      <c r="K212" s="60"/>
      <c r="L212" s="60"/>
      <c r="M212" s="60"/>
      <c r="N212" s="60"/>
    </row>
    <row r="213" spans="6:14" ht="15.75" x14ac:dyDescent="0.25">
      <c r="F213" s="59"/>
      <c r="G213" s="60"/>
      <c r="H213" s="60"/>
      <c r="I213" s="60"/>
      <c r="J213" s="60"/>
      <c r="K213" s="60"/>
      <c r="L213" s="60"/>
      <c r="M213" s="60"/>
      <c r="N213" s="60"/>
    </row>
    <row r="214" spans="6:14" ht="15.75" x14ac:dyDescent="0.25">
      <c r="F214" s="59"/>
      <c r="G214" s="60"/>
      <c r="H214" s="60"/>
      <c r="I214" s="60"/>
      <c r="J214" s="60"/>
      <c r="K214" s="60"/>
      <c r="L214" s="60"/>
      <c r="M214" s="60"/>
      <c r="N214" s="60"/>
    </row>
    <row r="215" spans="6:14" ht="15.75" x14ac:dyDescent="0.25">
      <c r="F215" s="59"/>
      <c r="G215" s="60"/>
      <c r="H215" s="60"/>
      <c r="I215" s="60"/>
      <c r="J215" s="60"/>
      <c r="K215" s="60"/>
      <c r="L215" s="60"/>
      <c r="M215" s="60"/>
      <c r="N215" s="60"/>
    </row>
    <row r="216" spans="6:14" ht="15.75" x14ac:dyDescent="0.25">
      <c r="F216" s="59"/>
      <c r="G216" s="60"/>
      <c r="H216" s="60"/>
      <c r="I216" s="60"/>
      <c r="J216" s="60"/>
      <c r="K216" s="60"/>
      <c r="L216" s="60"/>
      <c r="M216" s="60"/>
      <c r="N216" s="60"/>
    </row>
    <row r="217" spans="6:14" ht="15.75" x14ac:dyDescent="0.25">
      <c r="F217" s="59"/>
      <c r="G217" s="60"/>
      <c r="H217" s="60"/>
      <c r="I217" s="60"/>
      <c r="J217" s="60"/>
      <c r="K217" s="60"/>
      <c r="L217" s="60"/>
      <c r="M217" s="60"/>
      <c r="N217" s="60"/>
    </row>
    <row r="218" spans="6:14" ht="15.75" x14ac:dyDescent="0.25">
      <c r="F218" s="59"/>
      <c r="G218" s="60"/>
      <c r="H218" s="60"/>
      <c r="I218" s="60"/>
      <c r="J218" s="60"/>
      <c r="K218" s="60"/>
      <c r="L218" s="60"/>
      <c r="M218" s="60"/>
      <c r="N218" s="60"/>
    </row>
    <row r="219" spans="6:14" ht="15.75" x14ac:dyDescent="0.25">
      <c r="F219" s="59"/>
      <c r="G219" s="60"/>
      <c r="H219" s="60"/>
      <c r="I219" s="60"/>
      <c r="J219" s="60"/>
      <c r="K219" s="60"/>
      <c r="L219" s="60"/>
      <c r="M219" s="60"/>
      <c r="N219" s="60"/>
    </row>
    <row r="220" spans="6:14" ht="15.75" x14ac:dyDescent="0.25">
      <c r="F220" s="59"/>
      <c r="G220" s="60"/>
      <c r="H220" s="60"/>
      <c r="I220" s="60"/>
      <c r="J220" s="60"/>
      <c r="K220" s="60"/>
      <c r="L220" s="60"/>
      <c r="M220" s="60"/>
      <c r="N220" s="60"/>
    </row>
    <row r="221" spans="6:14" ht="15.75" x14ac:dyDescent="0.25">
      <c r="F221" s="59"/>
      <c r="G221" s="60"/>
      <c r="H221" s="60"/>
      <c r="I221" s="60"/>
      <c r="J221" s="60"/>
      <c r="K221" s="60"/>
      <c r="L221" s="60"/>
      <c r="M221" s="60"/>
      <c r="N221" s="60"/>
    </row>
    <row r="222" spans="6:14" ht="15.75" x14ac:dyDescent="0.25">
      <c r="F222" s="59"/>
      <c r="G222" s="60"/>
      <c r="H222" s="60"/>
      <c r="I222" s="60"/>
      <c r="J222" s="60"/>
      <c r="K222" s="60"/>
      <c r="L222" s="60"/>
      <c r="M222" s="60"/>
      <c r="N222" s="60"/>
    </row>
    <row r="223" spans="6:14" ht="15.75" x14ac:dyDescent="0.25">
      <c r="F223" s="59"/>
      <c r="G223" s="60"/>
      <c r="H223" s="60"/>
      <c r="I223" s="60"/>
      <c r="J223" s="60"/>
      <c r="K223" s="60"/>
      <c r="L223" s="60"/>
      <c r="M223" s="60"/>
      <c r="N223" s="60"/>
    </row>
    <row r="224" spans="6:14" ht="15.75" x14ac:dyDescent="0.25">
      <c r="F224" s="59"/>
      <c r="G224" s="60"/>
      <c r="H224" s="60"/>
      <c r="I224" s="60"/>
      <c r="J224" s="60"/>
      <c r="K224" s="60"/>
      <c r="L224" s="60"/>
      <c r="M224" s="60"/>
      <c r="N224" s="60"/>
    </row>
    <row r="225" spans="6:14" ht="15.75" x14ac:dyDescent="0.25">
      <c r="F225" s="59"/>
      <c r="G225" s="60"/>
      <c r="H225" s="60"/>
      <c r="I225" s="60"/>
      <c r="J225" s="60"/>
      <c r="K225" s="60"/>
      <c r="L225" s="60"/>
      <c r="M225" s="60"/>
      <c r="N225" s="60"/>
    </row>
    <row r="226" spans="6:14" ht="15.75" x14ac:dyDescent="0.25">
      <c r="F226" s="59"/>
      <c r="G226" s="60"/>
      <c r="H226" s="60"/>
      <c r="I226" s="60"/>
      <c r="J226" s="60"/>
      <c r="K226" s="60"/>
      <c r="L226" s="60"/>
      <c r="M226" s="60"/>
      <c r="N226" s="60"/>
    </row>
    <row r="227" spans="6:14" ht="15.75" x14ac:dyDescent="0.25">
      <c r="F227" s="59"/>
      <c r="G227" s="60"/>
      <c r="H227" s="60"/>
      <c r="I227" s="60"/>
      <c r="J227" s="60"/>
      <c r="K227" s="60"/>
      <c r="L227" s="60"/>
      <c r="M227" s="60"/>
      <c r="N227" s="60"/>
    </row>
    <row r="228" spans="6:14" ht="15.75" x14ac:dyDescent="0.25">
      <c r="F228" s="59"/>
      <c r="G228" s="60"/>
      <c r="H228" s="60"/>
      <c r="I228" s="60"/>
      <c r="J228" s="60"/>
      <c r="K228" s="60"/>
      <c r="L228" s="60"/>
      <c r="M228" s="60"/>
      <c r="N228" s="60"/>
    </row>
    <row r="229" spans="6:14" ht="15.75" x14ac:dyDescent="0.25">
      <c r="F229" s="59"/>
      <c r="G229" s="60"/>
      <c r="H229" s="60"/>
      <c r="I229" s="60"/>
      <c r="J229" s="60"/>
      <c r="K229" s="60"/>
      <c r="L229" s="60"/>
      <c r="M229" s="60"/>
      <c r="N229" s="60"/>
    </row>
    <row r="230" spans="6:14" ht="15.75" x14ac:dyDescent="0.25">
      <c r="F230" s="59"/>
      <c r="G230" s="60"/>
      <c r="H230" s="60"/>
      <c r="I230" s="60"/>
      <c r="J230" s="60"/>
      <c r="K230" s="60"/>
      <c r="L230" s="60"/>
      <c r="M230" s="60"/>
      <c r="N230" s="60"/>
    </row>
    <row r="231" spans="6:14" ht="15.75" x14ac:dyDescent="0.25">
      <c r="F231" s="59"/>
      <c r="G231" s="60"/>
      <c r="H231" s="60"/>
      <c r="I231" s="60"/>
      <c r="J231" s="60"/>
      <c r="K231" s="60"/>
      <c r="L231" s="60"/>
      <c r="M231" s="60"/>
      <c r="N231" s="60"/>
    </row>
    <row r="232" spans="6:14" ht="15.75" x14ac:dyDescent="0.25">
      <c r="F232" s="59"/>
      <c r="G232" s="60"/>
      <c r="H232" s="60"/>
      <c r="I232" s="60"/>
      <c r="J232" s="60"/>
      <c r="K232" s="60"/>
      <c r="L232" s="60"/>
      <c r="M232" s="60"/>
      <c r="N232" s="60"/>
    </row>
    <row r="233" spans="6:14" ht="15.75" x14ac:dyDescent="0.25">
      <c r="F233" s="59"/>
      <c r="G233" s="60"/>
      <c r="H233" s="60"/>
      <c r="I233" s="60"/>
      <c r="J233" s="60"/>
      <c r="K233" s="60"/>
      <c r="L233" s="60"/>
      <c r="M233" s="60"/>
      <c r="N233" s="60"/>
    </row>
    <row r="234" spans="6:14" ht="15.75" x14ac:dyDescent="0.25">
      <c r="F234" s="59"/>
      <c r="G234" s="60"/>
      <c r="H234" s="60"/>
      <c r="I234" s="60"/>
      <c r="J234" s="60"/>
      <c r="K234" s="60"/>
      <c r="L234" s="60"/>
      <c r="M234" s="60"/>
      <c r="N234" s="60"/>
    </row>
    <row r="235" spans="6:14" ht="15.75" x14ac:dyDescent="0.25">
      <c r="F235" s="59"/>
      <c r="G235" s="60"/>
      <c r="H235" s="60"/>
      <c r="I235" s="60"/>
      <c r="J235" s="60"/>
      <c r="K235" s="60"/>
      <c r="L235" s="60"/>
      <c r="M235" s="60"/>
      <c r="N235" s="60"/>
    </row>
    <row r="236" spans="6:14" ht="15.75" x14ac:dyDescent="0.25">
      <c r="F236" s="59"/>
      <c r="G236" s="60"/>
      <c r="H236" s="60"/>
      <c r="I236" s="60"/>
      <c r="J236" s="60"/>
      <c r="K236" s="60"/>
      <c r="L236" s="60"/>
      <c r="M236" s="60"/>
      <c r="N236" s="60"/>
    </row>
    <row r="237" spans="6:14" ht="15.75" x14ac:dyDescent="0.25">
      <c r="F237" s="59"/>
      <c r="G237" s="60"/>
      <c r="H237" s="60"/>
      <c r="I237" s="60"/>
      <c r="J237" s="60"/>
      <c r="K237" s="60"/>
      <c r="L237" s="60"/>
      <c r="M237" s="60"/>
      <c r="N237" s="60"/>
    </row>
    <row r="238" spans="6:14" ht="15.75" x14ac:dyDescent="0.25">
      <c r="F238" s="59"/>
      <c r="G238" s="60"/>
      <c r="H238" s="60"/>
      <c r="I238" s="60"/>
      <c r="J238" s="60"/>
      <c r="K238" s="60"/>
      <c r="L238" s="60"/>
      <c r="M238" s="60"/>
      <c r="N238" s="60"/>
    </row>
    <row r="239" spans="6:14" ht="15.75" x14ac:dyDescent="0.25">
      <c r="F239" s="59"/>
      <c r="G239" s="60"/>
      <c r="H239" s="60"/>
      <c r="I239" s="60"/>
      <c r="J239" s="60"/>
      <c r="K239" s="60"/>
      <c r="L239" s="60"/>
      <c r="M239" s="60"/>
      <c r="N239" s="60"/>
    </row>
    <row r="240" spans="6:14" ht="15.75" x14ac:dyDescent="0.25">
      <c r="F240" s="59"/>
      <c r="G240" s="60"/>
      <c r="H240" s="60"/>
      <c r="I240" s="60"/>
      <c r="J240" s="60"/>
      <c r="K240" s="60"/>
      <c r="L240" s="60"/>
      <c r="M240" s="60"/>
      <c r="N240" s="60"/>
    </row>
    <row r="241" spans="6:14" ht="15.75" x14ac:dyDescent="0.25">
      <c r="F241" s="59"/>
      <c r="G241" s="60"/>
      <c r="H241" s="60"/>
      <c r="I241" s="60"/>
      <c r="J241" s="60"/>
      <c r="K241" s="60"/>
      <c r="L241" s="60"/>
      <c r="M241" s="60"/>
      <c r="N241" s="60"/>
    </row>
    <row r="242" spans="6:14" ht="15.75" x14ac:dyDescent="0.25">
      <c r="F242" s="59"/>
      <c r="G242" s="60"/>
      <c r="H242" s="60"/>
      <c r="I242" s="60"/>
      <c r="J242" s="60"/>
      <c r="K242" s="60"/>
      <c r="L242" s="60"/>
      <c r="M242" s="60"/>
      <c r="N242" s="60"/>
    </row>
    <row r="243" spans="6:14" ht="15.75" x14ac:dyDescent="0.25">
      <c r="F243" s="59"/>
      <c r="G243" s="60"/>
      <c r="H243" s="60"/>
      <c r="I243" s="60"/>
      <c r="J243" s="60"/>
      <c r="K243" s="60"/>
      <c r="L243" s="60"/>
      <c r="M243" s="60"/>
      <c r="N243" s="60"/>
    </row>
    <row r="244" spans="6:14" ht="15.75" x14ac:dyDescent="0.25">
      <c r="F244" s="59"/>
      <c r="G244" s="60"/>
      <c r="H244" s="60"/>
      <c r="I244" s="60"/>
      <c r="J244" s="60"/>
      <c r="K244" s="60"/>
      <c r="L244" s="60"/>
      <c r="M244" s="60"/>
      <c r="N244" s="60"/>
    </row>
    <row r="245" spans="6:14" ht="15.75" x14ac:dyDescent="0.25">
      <c r="F245" s="59"/>
      <c r="G245" s="60"/>
      <c r="H245" s="60"/>
      <c r="I245" s="60"/>
      <c r="J245" s="60"/>
      <c r="K245" s="60"/>
      <c r="L245" s="60"/>
      <c r="M245" s="60"/>
      <c r="N245" s="60"/>
    </row>
    <row r="246" spans="6:14" ht="15.75" x14ac:dyDescent="0.25">
      <c r="F246" s="59"/>
      <c r="G246" s="60"/>
      <c r="H246" s="60"/>
      <c r="I246" s="60"/>
      <c r="J246" s="60"/>
      <c r="K246" s="60"/>
      <c r="L246" s="60"/>
      <c r="M246" s="60"/>
      <c r="N246" s="60"/>
    </row>
    <row r="247" spans="6:14" ht="15.75" x14ac:dyDescent="0.25">
      <c r="F247" s="59"/>
      <c r="G247" s="60"/>
      <c r="H247" s="60"/>
      <c r="I247" s="60"/>
      <c r="J247" s="60"/>
      <c r="K247" s="60"/>
      <c r="L247" s="60"/>
      <c r="M247" s="60"/>
      <c r="N247" s="60"/>
    </row>
    <row r="248" spans="6:14" ht="15.75" x14ac:dyDescent="0.25">
      <c r="F248" s="59"/>
      <c r="G248" s="60"/>
      <c r="H248" s="60"/>
      <c r="I248" s="60"/>
      <c r="J248" s="60"/>
      <c r="K248" s="60"/>
      <c r="L248" s="60"/>
      <c r="M248" s="60"/>
      <c r="N248" s="60"/>
    </row>
    <row r="249" spans="6:14" ht="15.75" x14ac:dyDescent="0.25">
      <c r="F249" s="59"/>
      <c r="G249" s="60"/>
      <c r="H249" s="60"/>
      <c r="I249" s="60"/>
      <c r="J249" s="60"/>
      <c r="K249" s="60"/>
      <c r="L249" s="60"/>
      <c r="M249" s="60"/>
      <c r="N249" s="60"/>
    </row>
    <row r="250" spans="6:14" ht="15.75" x14ac:dyDescent="0.25">
      <c r="F250" s="59"/>
      <c r="G250" s="60"/>
      <c r="H250" s="60"/>
      <c r="I250" s="60"/>
      <c r="J250" s="60"/>
      <c r="K250" s="60"/>
      <c r="L250" s="60"/>
      <c r="M250" s="60"/>
      <c r="N250" s="60"/>
    </row>
    <row r="251" spans="6:14" ht="15.75" x14ac:dyDescent="0.25">
      <c r="F251" s="59"/>
      <c r="G251" s="60"/>
      <c r="H251" s="60"/>
      <c r="I251" s="60"/>
      <c r="J251" s="60"/>
      <c r="K251" s="60"/>
      <c r="L251" s="60"/>
      <c r="M251" s="60"/>
      <c r="N251" s="60"/>
    </row>
    <row r="252" spans="6:14" ht="15.75" x14ac:dyDescent="0.25">
      <c r="F252" s="59"/>
      <c r="G252" s="60"/>
      <c r="H252" s="60"/>
      <c r="I252" s="60"/>
      <c r="J252" s="60"/>
      <c r="K252" s="60"/>
      <c r="L252" s="60"/>
      <c r="M252" s="60"/>
      <c r="N252" s="60"/>
    </row>
    <row r="253" spans="6:14" ht="15.75" x14ac:dyDescent="0.25">
      <c r="F253" s="59"/>
      <c r="G253" s="60"/>
      <c r="H253" s="60"/>
      <c r="I253" s="60"/>
      <c r="J253" s="60"/>
      <c r="K253" s="60"/>
      <c r="L253" s="60"/>
      <c r="M253" s="60"/>
      <c r="N253" s="60"/>
    </row>
    <row r="254" spans="6:14" ht="15.75" x14ac:dyDescent="0.25">
      <c r="F254" s="59"/>
      <c r="G254" s="60"/>
      <c r="H254" s="60"/>
      <c r="I254" s="60"/>
      <c r="J254" s="60"/>
      <c r="K254" s="60"/>
      <c r="L254" s="60"/>
      <c r="M254" s="60"/>
      <c r="N254" s="60"/>
    </row>
    <row r="255" spans="6:14" ht="15.75" x14ac:dyDescent="0.25">
      <c r="F255" s="59"/>
      <c r="G255" s="60"/>
      <c r="H255" s="60"/>
      <c r="I255" s="60"/>
      <c r="J255" s="60"/>
      <c r="K255" s="60"/>
      <c r="L255" s="60"/>
      <c r="M255" s="60"/>
      <c r="N255" s="60"/>
    </row>
    <row r="256" spans="6:14" ht="15.75" x14ac:dyDescent="0.25">
      <c r="F256" s="59"/>
      <c r="G256" s="60"/>
      <c r="H256" s="60"/>
      <c r="I256" s="60"/>
      <c r="J256" s="60"/>
      <c r="K256" s="60"/>
      <c r="L256" s="60"/>
      <c r="M256" s="60"/>
      <c r="N256" s="60"/>
    </row>
    <row r="257" spans="6:14" ht="15.75" x14ac:dyDescent="0.25">
      <c r="F257" s="59"/>
      <c r="G257" s="60"/>
      <c r="H257" s="60"/>
      <c r="I257" s="60"/>
      <c r="J257" s="60"/>
      <c r="K257" s="60"/>
      <c r="L257" s="60"/>
      <c r="M257" s="60"/>
      <c r="N257" s="60"/>
    </row>
    <row r="258" spans="6:14" ht="15.75" x14ac:dyDescent="0.25">
      <c r="F258" s="59"/>
      <c r="G258" s="60"/>
      <c r="H258" s="60"/>
      <c r="I258" s="60"/>
      <c r="J258" s="60"/>
      <c r="K258" s="60"/>
      <c r="L258" s="60"/>
      <c r="M258" s="60"/>
      <c r="N258" s="60"/>
    </row>
    <row r="259" spans="6:14" ht="15.75" x14ac:dyDescent="0.25">
      <c r="F259" s="59"/>
      <c r="G259" s="60"/>
      <c r="H259" s="60"/>
      <c r="I259" s="60"/>
      <c r="J259" s="60"/>
      <c r="K259" s="60"/>
      <c r="L259" s="60"/>
      <c r="M259" s="60"/>
      <c r="N259" s="60"/>
    </row>
    <row r="260" spans="6:14" ht="15.75" x14ac:dyDescent="0.25">
      <c r="F260" s="59"/>
      <c r="G260" s="60"/>
      <c r="H260" s="60"/>
      <c r="I260" s="60"/>
      <c r="J260" s="60"/>
      <c r="K260" s="60"/>
      <c r="L260" s="60"/>
      <c r="M260" s="60"/>
      <c r="N260" s="60"/>
    </row>
    <row r="261" spans="6:14" ht="15.75" x14ac:dyDescent="0.25">
      <c r="F261" s="59"/>
      <c r="G261" s="60"/>
      <c r="H261" s="60"/>
      <c r="I261" s="60"/>
      <c r="J261" s="60"/>
      <c r="K261" s="60"/>
      <c r="L261" s="60"/>
      <c r="M261" s="60"/>
      <c r="N261" s="60"/>
    </row>
    <row r="262" spans="6:14" ht="15.75" x14ac:dyDescent="0.25">
      <c r="F262" s="59"/>
      <c r="G262" s="60"/>
      <c r="H262" s="60"/>
      <c r="I262" s="60"/>
      <c r="J262" s="60"/>
      <c r="K262" s="60"/>
      <c r="L262" s="60"/>
      <c r="M262" s="60"/>
      <c r="N262" s="60"/>
    </row>
    <row r="263" spans="6:14" ht="15.75" x14ac:dyDescent="0.25">
      <c r="F263" s="59"/>
      <c r="G263" s="60"/>
      <c r="H263" s="60"/>
      <c r="I263" s="60"/>
      <c r="J263" s="60"/>
      <c r="K263" s="60"/>
      <c r="L263" s="60"/>
      <c r="M263" s="60"/>
      <c r="N263" s="60"/>
    </row>
    <row r="264" spans="6:14" ht="15.75" x14ac:dyDescent="0.25">
      <c r="F264" s="59"/>
      <c r="G264" s="60"/>
      <c r="H264" s="60"/>
      <c r="I264" s="60"/>
      <c r="J264" s="60"/>
      <c r="K264" s="60"/>
      <c r="L264" s="60"/>
      <c r="M264" s="60"/>
      <c r="N264" s="60"/>
    </row>
    <row r="265" spans="6:14" ht="15.75" x14ac:dyDescent="0.25">
      <c r="F265" s="59"/>
      <c r="G265" s="60"/>
      <c r="H265" s="60"/>
      <c r="I265" s="60"/>
      <c r="J265" s="60"/>
      <c r="K265" s="60"/>
      <c r="L265" s="60"/>
      <c r="M265" s="60"/>
      <c r="N265" s="60"/>
    </row>
    <row r="266" spans="6:14" ht="15.75" x14ac:dyDescent="0.25">
      <c r="F266" s="59"/>
      <c r="G266" s="60"/>
      <c r="H266" s="60"/>
      <c r="I266" s="60"/>
      <c r="J266" s="60"/>
      <c r="K266" s="60"/>
      <c r="L266" s="60"/>
      <c r="M266" s="60"/>
      <c r="N266" s="60"/>
    </row>
    <row r="267" spans="6:14" ht="15.75" x14ac:dyDescent="0.25">
      <c r="F267" s="59"/>
      <c r="G267" s="60"/>
      <c r="H267" s="60"/>
      <c r="I267" s="60"/>
      <c r="J267" s="60"/>
      <c r="K267" s="60"/>
      <c r="L267" s="60"/>
      <c r="M267" s="60"/>
      <c r="N267" s="60"/>
    </row>
    <row r="268" spans="6:14" ht="15.75" x14ac:dyDescent="0.25">
      <c r="F268" s="59"/>
      <c r="G268" s="60"/>
      <c r="H268" s="60"/>
      <c r="I268" s="60"/>
      <c r="J268" s="60"/>
      <c r="K268" s="60"/>
      <c r="L268" s="60"/>
      <c r="M268" s="60"/>
      <c r="N268" s="60"/>
    </row>
    <row r="269" spans="6:14" ht="15.75" x14ac:dyDescent="0.25">
      <c r="F269" s="59"/>
      <c r="G269" s="60"/>
      <c r="H269" s="60"/>
      <c r="I269" s="60"/>
      <c r="J269" s="60"/>
      <c r="K269" s="60"/>
      <c r="L269" s="60"/>
      <c r="M269" s="60"/>
      <c r="N269" s="60"/>
    </row>
    <row r="270" spans="6:14" ht="15.75" x14ac:dyDescent="0.25">
      <c r="F270" s="59"/>
      <c r="G270" s="60"/>
      <c r="H270" s="60"/>
      <c r="I270" s="60"/>
      <c r="J270" s="60"/>
      <c r="K270" s="60"/>
      <c r="L270" s="60"/>
      <c r="M270" s="60"/>
      <c r="N270" s="60"/>
    </row>
    <row r="271" spans="6:14" ht="15.75" x14ac:dyDescent="0.25">
      <c r="F271" s="59"/>
      <c r="G271" s="60"/>
      <c r="H271" s="60"/>
      <c r="I271" s="60"/>
      <c r="J271" s="60"/>
      <c r="K271" s="60"/>
      <c r="L271" s="60"/>
      <c r="M271" s="60"/>
      <c r="N271" s="60"/>
    </row>
    <row r="272" spans="6:14" ht="15.75" x14ac:dyDescent="0.25">
      <c r="F272" s="59"/>
      <c r="G272" s="60"/>
      <c r="H272" s="60"/>
      <c r="I272" s="60"/>
      <c r="J272" s="60"/>
      <c r="K272" s="60"/>
      <c r="L272" s="60"/>
      <c r="M272" s="60"/>
      <c r="N272" s="60"/>
    </row>
    <row r="273" spans="6:14" ht="15.75" x14ac:dyDescent="0.25">
      <c r="F273" s="59"/>
      <c r="G273" s="60"/>
      <c r="H273" s="60"/>
      <c r="I273" s="60"/>
      <c r="J273" s="60"/>
      <c r="K273" s="60"/>
      <c r="L273" s="60"/>
      <c r="M273" s="60"/>
      <c r="N273" s="60"/>
    </row>
    <row r="274" spans="6:14" ht="15.75" x14ac:dyDescent="0.25">
      <c r="F274" s="59"/>
      <c r="G274" s="60"/>
      <c r="H274" s="60"/>
      <c r="I274" s="60"/>
      <c r="J274" s="60"/>
      <c r="K274" s="60"/>
      <c r="L274" s="60"/>
      <c r="M274" s="60"/>
      <c r="N274" s="60"/>
    </row>
    <row r="275" spans="6:14" ht="15.75" x14ac:dyDescent="0.25">
      <c r="F275" s="59"/>
      <c r="G275" s="60"/>
      <c r="H275" s="60"/>
      <c r="I275" s="60"/>
      <c r="J275" s="60"/>
      <c r="K275" s="60"/>
      <c r="L275" s="60"/>
      <c r="M275" s="60"/>
      <c r="N275" s="60"/>
    </row>
    <row r="276" spans="6:14" ht="15.75" x14ac:dyDescent="0.25">
      <c r="F276" s="59"/>
      <c r="G276" s="60"/>
      <c r="H276" s="60"/>
      <c r="I276" s="60"/>
      <c r="J276" s="60"/>
      <c r="K276" s="60"/>
      <c r="L276" s="60"/>
      <c r="M276" s="60"/>
      <c r="N276" s="60"/>
    </row>
    <row r="277" spans="6:14" ht="15.75" x14ac:dyDescent="0.25">
      <c r="F277" s="59"/>
      <c r="G277" s="60"/>
      <c r="H277" s="60"/>
      <c r="I277" s="60"/>
      <c r="J277" s="60"/>
      <c r="K277" s="60"/>
      <c r="L277" s="60"/>
      <c r="M277" s="60"/>
      <c r="N277" s="60"/>
    </row>
    <row r="278" spans="6:14" ht="15.75" x14ac:dyDescent="0.25">
      <c r="F278" s="59"/>
      <c r="G278" s="60"/>
      <c r="H278" s="60"/>
      <c r="I278" s="60"/>
      <c r="J278" s="60"/>
      <c r="K278" s="60"/>
      <c r="L278" s="60"/>
      <c r="M278" s="60"/>
      <c r="N278" s="60"/>
    </row>
    <row r="279" spans="6:14" ht="15.75" x14ac:dyDescent="0.25">
      <c r="F279" s="59"/>
      <c r="G279" s="60"/>
      <c r="H279" s="60"/>
      <c r="I279" s="60"/>
      <c r="J279" s="60"/>
      <c r="K279" s="60"/>
      <c r="L279" s="60"/>
      <c r="M279" s="60"/>
      <c r="N279" s="60"/>
    </row>
    <row r="280" spans="6:14" ht="15.75" x14ac:dyDescent="0.25">
      <c r="F280" s="59"/>
      <c r="G280" s="60"/>
      <c r="H280" s="60"/>
      <c r="I280" s="60"/>
      <c r="J280" s="60"/>
      <c r="K280" s="60"/>
      <c r="L280" s="60"/>
      <c r="M280" s="60"/>
      <c r="N280" s="60"/>
    </row>
    <row r="281" spans="6:14" ht="15.75" x14ac:dyDescent="0.25">
      <c r="F281" s="59"/>
      <c r="G281" s="60"/>
      <c r="H281" s="60"/>
      <c r="I281" s="60"/>
      <c r="J281" s="60"/>
      <c r="K281" s="60"/>
      <c r="L281" s="60"/>
      <c r="M281" s="60"/>
      <c r="N281" s="60"/>
    </row>
    <row r="282" spans="6:14" ht="15.75" x14ac:dyDescent="0.25">
      <c r="F282" s="59"/>
      <c r="G282" s="60"/>
      <c r="H282" s="60"/>
      <c r="I282" s="60"/>
      <c r="J282" s="60"/>
      <c r="K282" s="60"/>
      <c r="L282" s="60"/>
      <c r="M282" s="60"/>
      <c r="N282" s="60"/>
    </row>
    <row r="283" spans="6:14" ht="15.75" x14ac:dyDescent="0.25">
      <c r="F283" s="59"/>
      <c r="G283" s="60"/>
      <c r="H283" s="60"/>
      <c r="I283" s="60"/>
      <c r="J283" s="60"/>
      <c r="K283" s="60"/>
      <c r="L283" s="60"/>
      <c r="M283" s="60"/>
      <c r="N283" s="60"/>
    </row>
    <row r="284" spans="6:14" ht="15.75" x14ac:dyDescent="0.25">
      <c r="F284" s="59"/>
      <c r="G284" s="60"/>
      <c r="H284" s="60"/>
      <c r="I284" s="60"/>
      <c r="J284" s="60"/>
      <c r="K284" s="60"/>
      <c r="L284" s="60"/>
      <c r="M284" s="60"/>
      <c r="N284" s="60"/>
    </row>
    <row r="285" spans="6:14" ht="15.75" x14ac:dyDescent="0.25">
      <c r="F285" s="59"/>
      <c r="G285" s="60"/>
      <c r="H285" s="60"/>
      <c r="I285" s="60"/>
      <c r="J285" s="60"/>
      <c r="K285" s="60"/>
      <c r="L285" s="60"/>
      <c r="M285" s="60"/>
      <c r="N285" s="60"/>
    </row>
    <row r="286" spans="6:14" ht="15.75" x14ac:dyDescent="0.25">
      <c r="F286" s="59"/>
      <c r="G286" s="60"/>
      <c r="H286" s="60"/>
      <c r="I286" s="60"/>
      <c r="J286" s="60"/>
      <c r="K286" s="60"/>
      <c r="L286" s="60"/>
      <c r="M286" s="60"/>
      <c r="N286" s="60"/>
    </row>
    <row r="287" spans="6:14" ht="15.75" x14ac:dyDescent="0.25">
      <c r="F287" s="59"/>
      <c r="G287" s="60"/>
      <c r="H287" s="60"/>
      <c r="I287" s="60"/>
      <c r="J287" s="60"/>
      <c r="K287" s="60"/>
      <c r="L287" s="60"/>
      <c r="M287" s="60"/>
      <c r="N287" s="60"/>
    </row>
    <row r="288" spans="6:14" ht="15.75" x14ac:dyDescent="0.25">
      <c r="F288" s="59"/>
      <c r="G288" s="60"/>
      <c r="H288" s="60"/>
      <c r="I288" s="60"/>
      <c r="J288" s="60"/>
      <c r="K288" s="60"/>
      <c r="L288" s="60"/>
      <c r="M288" s="60"/>
      <c r="N288" s="60"/>
    </row>
    <row r="289" spans="6:14" ht="15.75" x14ac:dyDescent="0.25">
      <c r="F289" s="59"/>
      <c r="G289" s="60"/>
      <c r="H289" s="60"/>
      <c r="I289" s="60"/>
      <c r="J289" s="60"/>
      <c r="K289" s="60"/>
      <c r="L289" s="60"/>
      <c r="M289" s="60"/>
      <c r="N289" s="60"/>
    </row>
    <row r="290" spans="6:14" ht="15.75" x14ac:dyDescent="0.25">
      <c r="F290" s="59"/>
      <c r="G290" s="60"/>
      <c r="H290" s="60"/>
      <c r="I290" s="60"/>
      <c r="J290" s="60"/>
      <c r="K290" s="60"/>
      <c r="L290" s="60"/>
      <c r="M290" s="60"/>
      <c r="N290" s="60"/>
    </row>
    <row r="291" spans="6:14" ht="15.75" x14ac:dyDescent="0.25">
      <c r="F291" s="59"/>
      <c r="G291" s="60"/>
      <c r="H291" s="60"/>
      <c r="I291" s="60"/>
      <c r="J291" s="60"/>
      <c r="K291" s="60"/>
      <c r="L291" s="60"/>
      <c r="M291" s="60"/>
      <c r="N291" s="60"/>
    </row>
    <row r="292" spans="6:14" ht="15.75" x14ac:dyDescent="0.25">
      <c r="F292" s="59"/>
      <c r="G292" s="60"/>
      <c r="H292" s="60"/>
      <c r="I292" s="60"/>
      <c r="J292" s="60"/>
      <c r="K292" s="60"/>
      <c r="L292" s="60"/>
      <c r="M292" s="60"/>
      <c r="N292" s="60"/>
    </row>
    <row r="293" spans="6:14" ht="15.75" x14ac:dyDescent="0.25">
      <c r="F293" s="59"/>
      <c r="G293" s="60"/>
      <c r="H293" s="60"/>
      <c r="I293" s="60"/>
      <c r="J293" s="60"/>
      <c r="K293" s="60"/>
      <c r="L293" s="60"/>
      <c r="M293" s="60"/>
      <c r="N293" s="60"/>
    </row>
    <row r="294" spans="6:14" ht="15.75" x14ac:dyDescent="0.25">
      <c r="F294" s="59"/>
      <c r="G294" s="60"/>
      <c r="H294" s="60"/>
      <c r="I294" s="60"/>
      <c r="J294" s="60"/>
      <c r="K294" s="60"/>
      <c r="L294" s="60"/>
      <c r="M294" s="60"/>
      <c r="N294" s="60"/>
    </row>
    <row r="295" spans="6:14" ht="15.75" x14ac:dyDescent="0.25">
      <c r="F295" s="59"/>
      <c r="G295" s="60"/>
      <c r="H295" s="60"/>
      <c r="I295" s="60"/>
      <c r="J295" s="60"/>
      <c r="K295" s="60"/>
      <c r="L295" s="60"/>
      <c r="M295" s="60"/>
      <c r="N295" s="60"/>
    </row>
    <row r="296" spans="6:14" ht="15.75" x14ac:dyDescent="0.25">
      <c r="F296" s="59"/>
      <c r="G296" s="60"/>
      <c r="H296" s="60"/>
      <c r="I296" s="60"/>
      <c r="J296" s="60"/>
      <c r="K296" s="60"/>
      <c r="L296" s="60"/>
      <c r="M296" s="60"/>
      <c r="N296" s="60"/>
    </row>
    <row r="297" spans="6:14" ht="15.75" x14ac:dyDescent="0.25">
      <c r="F297" s="59"/>
      <c r="G297" s="60"/>
      <c r="H297" s="60"/>
      <c r="I297" s="60"/>
      <c r="J297" s="60"/>
      <c r="K297" s="60"/>
      <c r="L297" s="60"/>
      <c r="M297" s="60"/>
      <c r="N297" s="60"/>
    </row>
    <row r="298" spans="6:14" ht="15.75" x14ac:dyDescent="0.25">
      <c r="F298" s="59"/>
      <c r="G298" s="60"/>
      <c r="H298" s="60"/>
      <c r="I298" s="60"/>
      <c r="J298" s="60"/>
      <c r="K298" s="60"/>
      <c r="L298" s="60"/>
      <c r="M298" s="60"/>
      <c r="N298" s="60"/>
    </row>
    <row r="299" spans="6:14" ht="15.75" x14ac:dyDescent="0.25">
      <c r="F299" s="59"/>
      <c r="G299" s="60"/>
      <c r="H299" s="60"/>
      <c r="I299" s="60"/>
      <c r="J299" s="60"/>
      <c r="K299" s="60"/>
      <c r="L299" s="60"/>
      <c r="M299" s="60"/>
      <c r="N299" s="60"/>
    </row>
    <row r="300" spans="6:14" ht="15.75" x14ac:dyDescent="0.25">
      <c r="F300" s="59"/>
      <c r="G300" s="60"/>
      <c r="H300" s="60"/>
      <c r="I300" s="60"/>
      <c r="J300" s="60"/>
      <c r="K300" s="60"/>
      <c r="L300" s="60"/>
      <c r="M300" s="60"/>
      <c r="N300" s="60"/>
    </row>
    <row r="301" spans="6:14" ht="15.75" x14ac:dyDescent="0.25">
      <c r="F301" s="59"/>
      <c r="G301" s="60"/>
      <c r="H301" s="60"/>
      <c r="I301" s="60"/>
      <c r="J301" s="60"/>
      <c r="K301" s="60"/>
      <c r="L301" s="60"/>
      <c r="M301" s="60"/>
      <c r="N301" s="60"/>
    </row>
    <row r="302" spans="6:14" ht="15.75" x14ac:dyDescent="0.25">
      <c r="F302" s="59"/>
      <c r="G302" s="60"/>
      <c r="H302" s="60"/>
      <c r="I302" s="60"/>
      <c r="J302" s="60"/>
      <c r="K302" s="60"/>
      <c r="L302" s="60"/>
      <c r="M302" s="60"/>
      <c r="N302" s="60"/>
    </row>
    <row r="303" spans="6:14" ht="15.75" x14ac:dyDescent="0.25">
      <c r="F303" s="59"/>
      <c r="G303" s="60"/>
      <c r="H303" s="60"/>
      <c r="I303" s="60"/>
      <c r="J303" s="60"/>
      <c r="K303" s="60"/>
      <c r="L303" s="60"/>
      <c r="M303" s="60"/>
      <c r="N303" s="60"/>
    </row>
    <row r="304" spans="6:14" ht="15.75" x14ac:dyDescent="0.25">
      <c r="F304" s="59"/>
      <c r="G304" s="60"/>
      <c r="H304" s="60"/>
      <c r="I304" s="60"/>
      <c r="J304" s="60"/>
      <c r="K304" s="60"/>
      <c r="L304" s="60"/>
      <c r="M304" s="60"/>
      <c r="N304" s="60"/>
    </row>
    <row r="305" spans="6:14" ht="15.75" x14ac:dyDescent="0.25">
      <c r="F305" s="59"/>
      <c r="G305" s="60"/>
      <c r="H305" s="60"/>
      <c r="I305" s="60"/>
      <c r="J305" s="60"/>
      <c r="K305" s="60"/>
      <c r="L305" s="60"/>
      <c r="M305" s="60"/>
      <c r="N305" s="60"/>
    </row>
    <row r="306" spans="6:14" ht="15.75" x14ac:dyDescent="0.25">
      <c r="F306" s="59"/>
      <c r="G306" s="60"/>
      <c r="H306" s="60"/>
      <c r="I306" s="60"/>
      <c r="J306" s="60"/>
      <c r="K306" s="60"/>
      <c r="L306" s="60"/>
      <c r="M306" s="60"/>
      <c r="N306" s="60"/>
    </row>
    <row r="307" spans="6:14" ht="15.75" x14ac:dyDescent="0.25">
      <c r="F307" s="59"/>
      <c r="G307" s="60"/>
      <c r="H307" s="60"/>
      <c r="I307" s="60"/>
      <c r="J307" s="60"/>
      <c r="K307" s="60"/>
      <c r="L307" s="60"/>
      <c r="M307" s="60"/>
      <c r="N307" s="60"/>
    </row>
    <row r="308" spans="6:14" ht="15.75" x14ac:dyDescent="0.25">
      <c r="F308" s="59"/>
      <c r="G308" s="60"/>
      <c r="H308" s="60"/>
      <c r="I308" s="60"/>
      <c r="J308" s="60"/>
      <c r="K308" s="60"/>
      <c r="L308" s="60"/>
      <c r="M308" s="60"/>
      <c r="N308" s="60"/>
    </row>
    <row r="309" spans="6:14" ht="15.75" x14ac:dyDescent="0.25">
      <c r="F309" s="59"/>
      <c r="G309" s="60"/>
      <c r="H309" s="60"/>
      <c r="I309" s="60"/>
      <c r="J309" s="60"/>
      <c r="K309" s="60"/>
      <c r="L309" s="60"/>
      <c r="M309" s="60"/>
      <c r="N309" s="60"/>
    </row>
    <row r="310" spans="6:14" ht="15.75" x14ac:dyDescent="0.25">
      <c r="F310" s="59"/>
      <c r="G310" s="60"/>
      <c r="H310" s="60"/>
      <c r="I310" s="60"/>
      <c r="J310" s="60"/>
      <c r="K310" s="60"/>
      <c r="L310" s="60"/>
      <c r="M310" s="60"/>
      <c r="N310" s="60"/>
    </row>
    <row r="311" spans="6:14" ht="15.75" x14ac:dyDescent="0.25">
      <c r="F311" s="59"/>
      <c r="G311" s="60"/>
      <c r="H311" s="60"/>
      <c r="I311" s="60"/>
      <c r="J311" s="60"/>
      <c r="K311" s="60"/>
      <c r="L311" s="60"/>
      <c r="M311" s="60"/>
      <c r="N311" s="60"/>
    </row>
    <row r="312" spans="6:14" ht="15.75" x14ac:dyDescent="0.25">
      <c r="F312" s="59"/>
      <c r="G312" s="60"/>
      <c r="H312" s="60"/>
      <c r="I312" s="60"/>
      <c r="J312" s="60"/>
      <c r="K312" s="60"/>
      <c r="L312" s="60"/>
      <c r="M312" s="60"/>
      <c r="N312" s="60"/>
    </row>
    <row r="313" spans="6:14" ht="15.75" x14ac:dyDescent="0.25">
      <c r="F313" s="59"/>
      <c r="G313" s="60"/>
      <c r="H313" s="60"/>
      <c r="I313" s="60"/>
      <c r="J313" s="60"/>
      <c r="K313" s="60"/>
      <c r="L313" s="60"/>
      <c r="M313" s="60"/>
      <c r="N313" s="60"/>
    </row>
    <row r="314" spans="6:14" ht="15.75" x14ac:dyDescent="0.25">
      <c r="F314" s="59"/>
      <c r="G314" s="60"/>
      <c r="H314" s="60"/>
      <c r="I314" s="60"/>
      <c r="J314" s="60"/>
      <c r="K314" s="60"/>
      <c r="L314" s="60"/>
      <c r="M314" s="60"/>
      <c r="N314" s="60"/>
    </row>
    <row r="315" spans="6:14" ht="15.75" x14ac:dyDescent="0.25">
      <c r="F315" s="59"/>
      <c r="G315" s="60"/>
      <c r="H315" s="60"/>
      <c r="I315" s="60"/>
      <c r="J315" s="60"/>
      <c r="K315" s="60"/>
      <c r="L315" s="60"/>
      <c r="M315" s="60"/>
      <c r="N315" s="60"/>
    </row>
    <row r="316" spans="6:14" ht="15.75" x14ac:dyDescent="0.25">
      <c r="F316" s="59"/>
      <c r="G316" s="60"/>
      <c r="H316" s="60"/>
      <c r="I316" s="60"/>
      <c r="J316" s="60"/>
      <c r="K316" s="60"/>
      <c r="L316" s="60"/>
      <c r="M316" s="60"/>
      <c r="N316" s="60"/>
    </row>
    <row r="317" spans="6:14" ht="15.75" x14ac:dyDescent="0.25">
      <c r="F317" s="59"/>
      <c r="G317" s="60"/>
      <c r="H317" s="60"/>
      <c r="I317" s="60"/>
      <c r="J317" s="60"/>
      <c r="K317" s="60"/>
      <c r="L317" s="60"/>
      <c r="M317" s="60"/>
      <c r="N317" s="60"/>
    </row>
    <row r="318" spans="6:14" ht="15.75" x14ac:dyDescent="0.25">
      <c r="F318" s="59"/>
      <c r="G318" s="60"/>
      <c r="H318" s="60"/>
      <c r="I318" s="60"/>
      <c r="J318" s="60"/>
      <c r="K318" s="60"/>
      <c r="L318" s="60"/>
      <c r="M318" s="60"/>
      <c r="N318" s="60"/>
    </row>
    <row r="319" spans="6:14" ht="15.75" x14ac:dyDescent="0.25">
      <c r="F319" s="59"/>
      <c r="G319" s="60"/>
      <c r="H319" s="60"/>
      <c r="I319" s="60"/>
      <c r="J319" s="60"/>
      <c r="K319" s="60"/>
      <c r="L319" s="60"/>
      <c r="M319" s="60"/>
      <c r="N319" s="60"/>
    </row>
    <row r="320" spans="6:14" ht="15.75" x14ac:dyDescent="0.25">
      <c r="F320" s="59"/>
      <c r="G320" s="60"/>
      <c r="H320" s="60"/>
      <c r="I320" s="60"/>
      <c r="J320" s="60"/>
      <c r="K320" s="60"/>
      <c r="L320" s="60"/>
      <c r="M320" s="60"/>
      <c r="N320" s="60"/>
    </row>
    <row r="321" spans="6:14" ht="15.75" x14ac:dyDescent="0.25">
      <c r="F321" s="59"/>
      <c r="G321" s="60"/>
      <c r="H321" s="60"/>
      <c r="I321" s="60"/>
      <c r="J321" s="60"/>
      <c r="K321" s="60"/>
      <c r="L321" s="60"/>
      <c r="M321" s="60"/>
      <c r="N321" s="60"/>
    </row>
    <row r="322" spans="6:14" ht="15.75" x14ac:dyDescent="0.25">
      <c r="F322" s="59"/>
      <c r="G322" s="60"/>
      <c r="H322" s="60"/>
      <c r="I322" s="60"/>
      <c r="J322" s="60"/>
      <c r="K322" s="60"/>
      <c r="L322" s="60"/>
      <c r="M322" s="60"/>
      <c r="N322" s="60"/>
    </row>
    <row r="323" spans="6:14" ht="15.75" x14ac:dyDescent="0.25">
      <c r="F323" s="59"/>
      <c r="G323" s="60"/>
      <c r="H323" s="60"/>
      <c r="I323" s="60"/>
      <c r="J323" s="60"/>
      <c r="K323" s="60"/>
      <c r="L323" s="60"/>
      <c r="M323" s="60"/>
      <c r="N323" s="60"/>
    </row>
    <row r="324" spans="6:14" ht="15.75" x14ac:dyDescent="0.25">
      <c r="F324" s="59"/>
      <c r="G324" s="60"/>
      <c r="H324" s="60"/>
      <c r="I324" s="60"/>
      <c r="J324" s="60"/>
      <c r="K324" s="60"/>
      <c r="L324" s="60"/>
      <c r="M324" s="60"/>
      <c r="N324" s="60"/>
    </row>
    <row r="325" spans="6:14" ht="15.75" x14ac:dyDescent="0.25">
      <c r="F325" s="59"/>
      <c r="G325" s="60"/>
      <c r="H325" s="60"/>
      <c r="I325" s="60"/>
      <c r="J325" s="60"/>
      <c r="K325" s="60"/>
      <c r="L325" s="60"/>
      <c r="M325" s="60"/>
      <c r="N325" s="60"/>
    </row>
    <row r="326" spans="6:14" ht="15.75" x14ac:dyDescent="0.25">
      <c r="F326" s="59"/>
      <c r="G326" s="60"/>
      <c r="H326" s="60"/>
      <c r="I326" s="60"/>
      <c r="J326" s="60"/>
      <c r="K326" s="60"/>
      <c r="L326" s="60"/>
      <c r="M326" s="60"/>
      <c r="N326" s="60"/>
    </row>
    <row r="327" spans="6:14" ht="15.75" x14ac:dyDescent="0.25">
      <c r="F327" s="59"/>
      <c r="G327" s="60"/>
      <c r="H327" s="60"/>
      <c r="I327" s="60"/>
      <c r="J327" s="60"/>
      <c r="K327" s="60"/>
      <c r="L327" s="60"/>
      <c r="M327" s="60"/>
      <c r="N327" s="60"/>
    </row>
    <row r="328" spans="6:14" ht="15.75" x14ac:dyDescent="0.25">
      <c r="F328" s="59"/>
      <c r="G328" s="60"/>
      <c r="H328" s="60"/>
      <c r="I328" s="60"/>
      <c r="J328" s="60"/>
      <c r="K328" s="60"/>
      <c r="L328" s="60"/>
      <c r="M328" s="60"/>
      <c r="N328" s="60"/>
    </row>
    <row r="329" spans="6:14" ht="15.75" x14ac:dyDescent="0.25">
      <c r="F329" s="59"/>
      <c r="G329" s="60"/>
      <c r="H329" s="60"/>
      <c r="I329" s="60"/>
      <c r="J329" s="60"/>
      <c r="K329" s="60"/>
      <c r="L329" s="60"/>
      <c r="M329" s="60"/>
      <c r="N329" s="60"/>
    </row>
    <row r="330" spans="6:14" ht="15.75" x14ac:dyDescent="0.25">
      <c r="F330" s="59"/>
      <c r="G330" s="60"/>
      <c r="H330" s="60"/>
      <c r="I330" s="60"/>
      <c r="J330" s="60"/>
      <c r="K330" s="60"/>
      <c r="L330" s="60"/>
      <c r="M330" s="60"/>
      <c r="N330" s="60"/>
    </row>
    <row r="331" spans="6:14" ht="15.75" x14ac:dyDescent="0.25">
      <c r="F331" s="59"/>
      <c r="G331" s="60"/>
      <c r="H331" s="60"/>
      <c r="I331" s="60"/>
      <c r="J331" s="60"/>
      <c r="K331" s="60"/>
      <c r="L331" s="60"/>
      <c r="M331" s="60"/>
      <c r="N331" s="60"/>
    </row>
    <row r="332" spans="6:14" ht="15.75" x14ac:dyDescent="0.25">
      <c r="F332" s="59"/>
      <c r="G332" s="60"/>
      <c r="H332" s="60"/>
      <c r="I332" s="60"/>
      <c r="J332" s="60"/>
      <c r="K332" s="60"/>
      <c r="L332" s="60"/>
      <c r="M332" s="60"/>
      <c r="N332" s="60"/>
    </row>
    <row r="333" spans="6:14" ht="15.75" x14ac:dyDescent="0.25">
      <c r="F333" s="59"/>
      <c r="G333" s="60"/>
      <c r="H333" s="60"/>
      <c r="I333" s="60"/>
      <c r="J333" s="60"/>
      <c r="K333" s="60"/>
      <c r="L333" s="60"/>
      <c r="M333" s="60"/>
      <c r="N333" s="60"/>
    </row>
    <row r="334" spans="6:14" ht="15.75" x14ac:dyDescent="0.25">
      <c r="F334" s="59"/>
      <c r="G334" s="60"/>
      <c r="H334" s="60"/>
      <c r="I334" s="60"/>
      <c r="J334" s="60"/>
      <c r="K334" s="60"/>
      <c r="L334" s="60"/>
      <c r="M334" s="60"/>
      <c r="N334" s="60"/>
    </row>
    <row r="335" spans="6:14" ht="15.75" x14ac:dyDescent="0.25">
      <c r="F335" s="59"/>
      <c r="G335" s="60"/>
      <c r="H335" s="60"/>
      <c r="I335" s="60"/>
      <c r="J335" s="60"/>
      <c r="K335" s="60"/>
      <c r="L335" s="60"/>
      <c r="M335" s="60"/>
      <c r="N335" s="60"/>
    </row>
    <row r="336" spans="6:14" ht="15.75" x14ac:dyDescent="0.25">
      <c r="F336" s="59"/>
      <c r="G336" s="60"/>
      <c r="H336" s="60"/>
      <c r="I336" s="60"/>
      <c r="J336" s="60"/>
      <c r="K336" s="60"/>
      <c r="L336" s="60"/>
      <c r="M336" s="60"/>
      <c r="N336" s="60"/>
    </row>
    <row r="337" spans="6:14" ht="15.75" x14ac:dyDescent="0.25">
      <c r="F337" s="59"/>
      <c r="G337" s="60"/>
      <c r="H337" s="60"/>
      <c r="I337" s="60"/>
      <c r="J337" s="60"/>
      <c r="K337" s="60"/>
      <c r="L337" s="60"/>
      <c r="M337" s="60"/>
      <c r="N337" s="60"/>
    </row>
    <row r="338" spans="6:14" ht="15.75" x14ac:dyDescent="0.25">
      <c r="F338" s="59"/>
      <c r="G338" s="60"/>
      <c r="H338" s="60"/>
      <c r="I338" s="60"/>
      <c r="J338" s="60"/>
      <c r="K338" s="60"/>
      <c r="L338" s="60"/>
      <c r="M338" s="60"/>
      <c r="N338" s="60"/>
    </row>
    <row r="339" spans="6:14" ht="15.75" x14ac:dyDescent="0.25">
      <c r="F339" s="59"/>
      <c r="G339" s="60"/>
      <c r="H339" s="60"/>
      <c r="I339" s="60"/>
      <c r="J339" s="60"/>
      <c r="K339" s="60"/>
      <c r="L339" s="60"/>
      <c r="M339" s="60"/>
      <c r="N339" s="60"/>
    </row>
    <row r="340" spans="6:14" ht="15.75" x14ac:dyDescent="0.25">
      <c r="F340" s="59"/>
      <c r="G340" s="60"/>
      <c r="H340" s="60"/>
      <c r="I340" s="60"/>
      <c r="J340" s="60"/>
      <c r="K340" s="60"/>
      <c r="L340" s="60"/>
      <c r="M340" s="60"/>
      <c r="N340" s="60"/>
    </row>
    <row r="341" spans="6:14" ht="15.75" x14ac:dyDescent="0.25">
      <c r="F341" s="59"/>
      <c r="G341" s="60"/>
      <c r="H341" s="60"/>
      <c r="I341" s="60"/>
      <c r="J341" s="60"/>
      <c r="K341" s="60"/>
      <c r="L341" s="60"/>
      <c r="M341" s="60"/>
      <c r="N341" s="60"/>
    </row>
    <row r="342" spans="6:14" ht="15.75" x14ac:dyDescent="0.25">
      <c r="F342" s="59"/>
      <c r="G342" s="60"/>
      <c r="H342" s="60"/>
      <c r="I342" s="60"/>
      <c r="J342" s="60"/>
      <c r="K342" s="60"/>
      <c r="L342" s="60"/>
      <c r="M342" s="60"/>
      <c r="N342" s="60"/>
    </row>
    <row r="343" spans="6:14" ht="15.75" x14ac:dyDescent="0.25">
      <c r="F343" s="59"/>
      <c r="G343" s="60"/>
      <c r="H343" s="60"/>
      <c r="I343" s="60"/>
      <c r="J343" s="60"/>
      <c r="K343" s="60"/>
      <c r="L343" s="60"/>
      <c r="M343" s="60"/>
      <c r="N343" s="60"/>
    </row>
    <row r="344" spans="6:14" ht="15.75" x14ac:dyDescent="0.25">
      <c r="F344" s="59"/>
      <c r="G344" s="60"/>
      <c r="H344" s="60"/>
      <c r="I344" s="60"/>
      <c r="J344" s="60"/>
      <c r="K344" s="60"/>
      <c r="L344" s="60"/>
      <c r="M344" s="60"/>
      <c r="N344" s="60"/>
    </row>
    <row r="345" spans="6:14" ht="15.75" x14ac:dyDescent="0.25">
      <c r="F345" s="59"/>
      <c r="G345" s="60"/>
      <c r="H345" s="60"/>
      <c r="I345" s="60"/>
      <c r="J345" s="60"/>
      <c r="K345" s="60"/>
      <c r="L345" s="60"/>
      <c r="M345" s="60"/>
      <c r="N345" s="60"/>
    </row>
    <row r="346" spans="6:14" ht="15.75" x14ac:dyDescent="0.25">
      <c r="F346" s="59"/>
      <c r="G346" s="60"/>
      <c r="H346" s="60"/>
      <c r="I346" s="60"/>
      <c r="J346" s="60"/>
      <c r="K346" s="60"/>
      <c r="L346" s="60"/>
      <c r="M346" s="60"/>
      <c r="N346" s="60"/>
    </row>
    <row r="347" spans="6:14" ht="15.75" x14ac:dyDescent="0.25">
      <c r="F347" s="59"/>
      <c r="G347" s="60"/>
      <c r="H347" s="60"/>
      <c r="I347" s="60"/>
      <c r="J347" s="60"/>
      <c r="K347" s="60"/>
      <c r="L347" s="60"/>
      <c r="M347" s="60"/>
      <c r="N347" s="60"/>
    </row>
    <row r="348" spans="6:14" ht="15.75" x14ac:dyDescent="0.25">
      <c r="F348" s="59"/>
      <c r="G348" s="60"/>
      <c r="H348" s="60"/>
      <c r="I348" s="60"/>
      <c r="J348" s="60"/>
      <c r="K348" s="60"/>
      <c r="L348" s="60"/>
      <c r="M348" s="60"/>
      <c r="N348" s="60"/>
    </row>
    <row r="349" spans="6:14" ht="15.75" x14ac:dyDescent="0.25">
      <c r="F349" s="59"/>
      <c r="G349" s="60"/>
      <c r="H349" s="60"/>
      <c r="I349" s="60"/>
      <c r="J349" s="60"/>
      <c r="K349" s="60"/>
      <c r="L349" s="60"/>
      <c r="M349" s="60"/>
      <c r="N349" s="60"/>
    </row>
    <row r="350" spans="6:14" ht="15.75" x14ac:dyDescent="0.25">
      <c r="F350" s="59"/>
      <c r="G350" s="60"/>
      <c r="H350" s="60"/>
      <c r="I350" s="60"/>
      <c r="J350" s="60"/>
      <c r="K350" s="60"/>
      <c r="L350" s="60"/>
      <c r="M350" s="60"/>
      <c r="N350" s="60"/>
    </row>
    <row r="351" spans="6:14" ht="15.75" x14ac:dyDescent="0.25">
      <c r="F351" s="59"/>
      <c r="G351" s="60"/>
      <c r="H351" s="60"/>
      <c r="I351" s="60"/>
      <c r="J351" s="60"/>
      <c r="K351" s="60"/>
      <c r="L351" s="60"/>
      <c r="M351" s="60"/>
      <c r="N351" s="60"/>
    </row>
    <row r="352" spans="6:14" ht="15.75" x14ac:dyDescent="0.25">
      <c r="F352" s="59"/>
      <c r="G352" s="60"/>
      <c r="H352" s="60"/>
      <c r="I352" s="60"/>
      <c r="J352" s="60"/>
      <c r="K352" s="60"/>
      <c r="L352" s="60"/>
      <c r="M352" s="60"/>
      <c r="N352" s="60"/>
    </row>
    <row r="353" spans="6:14" ht="15.75" x14ac:dyDescent="0.25">
      <c r="F353" s="59"/>
      <c r="G353" s="60"/>
      <c r="H353" s="60"/>
      <c r="I353" s="60"/>
      <c r="J353" s="60"/>
      <c r="K353" s="60"/>
      <c r="L353" s="60"/>
      <c r="M353" s="60"/>
      <c r="N353" s="60"/>
    </row>
    <row r="354" spans="6:14" ht="15.75" x14ac:dyDescent="0.25">
      <c r="F354" s="59"/>
      <c r="G354" s="60"/>
      <c r="H354" s="60"/>
      <c r="I354" s="60"/>
      <c r="J354" s="60"/>
      <c r="K354" s="60"/>
      <c r="L354" s="60"/>
      <c r="M354" s="60"/>
      <c r="N354" s="60"/>
    </row>
    <row r="355" spans="6:14" ht="15.75" x14ac:dyDescent="0.25">
      <c r="F355" s="59"/>
      <c r="G355" s="60"/>
      <c r="H355" s="60"/>
      <c r="I355" s="60"/>
      <c r="J355" s="60"/>
      <c r="K355" s="60"/>
      <c r="L355" s="60"/>
      <c r="M355" s="60"/>
      <c r="N355" s="60"/>
    </row>
    <row r="356" spans="6:14" ht="15.75" x14ac:dyDescent="0.25">
      <c r="F356" s="59"/>
      <c r="G356" s="60"/>
      <c r="H356" s="60"/>
      <c r="I356" s="60"/>
      <c r="J356" s="60"/>
      <c r="K356" s="60"/>
      <c r="L356" s="60"/>
      <c r="M356" s="60"/>
      <c r="N356" s="60"/>
    </row>
    <row r="357" spans="6:14" ht="15.75" x14ac:dyDescent="0.25">
      <c r="F357" s="59"/>
      <c r="G357" s="60"/>
      <c r="H357" s="60"/>
      <c r="I357" s="60"/>
      <c r="J357" s="60"/>
      <c r="K357" s="60"/>
      <c r="L357" s="60"/>
      <c r="M357" s="60"/>
      <c r="N357" s="60"/>
    </row>
    <row r="358" spans="6:14" ht="15.75" x14ac:dyDescent="0.25">
      <c r="F358" s="59"/>
      <c r="G358" s="60"/>
      <c r="H358" s="60"/>
      <c r="I358" s="60"/>
      <c r="J358" s="60"/>
      <c r="K358" s="60"/>
      <c r="L358" s="60"/>
      <c r="M358" s="60"/>
      <c r="N358" s="60"/>
    </row>
    <row r="359" spans="6:14" ht="15.75" x14ac:dyDescent="0.25">
      <c r="F359" s="59"/>
      <c r="G359" s="60"/>
      <c r="H359" s="60"/>
      <c r="I359" s="60"/>
      <c r="J359" s="60"/>
      <c r="K359" s="60"/>
      <c r="L359" s="60"/>
      <c r="M359" s="60"/>
      <c r="N359" s="60"/>
    </row>
    <row r="360" spans="6:14" ht="15.75" x14ac:dyDescent="0.25">
      <c r="F360" s="59"/>
      <c r="G360" s="60"/>
      <c r="H360" s="60"/>
      <c r="I360" s="60"/>
      <c r="J360" s="60"/>
      <c r="K360" s="60"/>
      <c r="L360" s="60"/>
      <c r="M360" s="60"/>
      <c r="N360" s="60"/>
    </row>
    <row r="361" spans="6:14" ht="15.75" x14ac:dyDescent="0.25">
      <c r="F361" s="59"/>
      <c r="G361" s="60"/>
      <c r="H361" s="60"/>
      <c r="I361" s="60"/>
      <c r="J361" s="60"/>
      <c r="K361" s="60"/>
      <c r="L361" s="60"/>
      <c r="M361" s="60"/>
      <c r="N361" s="60"/>
    </row>
    <row r="362" spans="6:14" ht="15.75" x14ac:dyDescent="0.25">
      <c r="F362" s="59"/>
      <c r="G362" s="60"/>
      <c r="H362" s="60"/>
      <c r="I362" s="60"/>
      <c r="J362" s="60"/>
      <c r="K362" s="60"/>
      <c r="L362" s="60"/>
      <c r="M362" s="60"/>
      <c r="N362" s="60"/>
    </row>
    <row r="363" spans="6:14" ht="15.75" x14ac:dyDescent="0.25">
      <c r="F363" s="59"/>
      <c r="G363" s="60"/>
      <c r="H363" s="60"/>
      <c r="I363" s="60"/>
      <c r="J363" s="60"/>
      <c r="K363" s="60"/>
      <c r="L363" s="60"/>
      <c r="M363" s="60"/>
      <c r="N363" s="60"/>
    </row>
    <row r="364" spans="6:14" ht="15.75" x14ac:dyDescent="0.25">
      <c r="F364" s="59"/>
      <c r="G364" s="60"/>
      <c r="H364" s="60"/>
      <c r="I364" s="60"/>
      <c r="J364" s="60"/>
      <c r="K364" s="60"/>
      <c r="L364" s="60"/>
      <c r="M364" s="60"/>
      <c r="N364" s="60"/>
    </row>
    <row r="365" spans="6:14" ht="15.75" x14ac:dyDescent="0.25">
      <c r="F365" s="59"/>
      <c r="G365" s="60"/>
      <c r="H365" s="60"/>
      <c r="I365" s="60"/>
      <c r="J365" s="60"/>
      <c r="K365" s="60"/>
      <c r="L365" s="60"/>
      <c r="M365" s="60"/>
      <c r="N365" s="60"/>
    </row>
    <row r="366" spans="6:14" ht="15.75" x14ac:dyDescent="0.25">
      <c r="F366" s="59"/>
      <c r="G366" s="60"/>
      <c r="H366" s="60"/>
      <c r="I366" s="60"/>
      <c r="J366" s="60"/>
      <c r="K366" s="60"/>
      <c r="L366" s="60"/>
      <c r="M366" s="60"/>
      <c r="N366" s="60"/>
    </row>
    <row r="367" spans="6:14" ht="15.75" x14ac:dyDescent="0.25">
      <c r="F367" s="59"/>
      <c r="G367" s="60"/>
      <c r="H367" s="60"/>
      <c r="I367" s="60"/>
      <c r="J367" s="60"/>
      <c r="K367" s="60"/>
      <c r="L367" s="60"/>
      <c r="M367" s="60"/>
      <c r="N367" s="60"/>
    </row>
    <row r="368" spans="6:14" ht="15.75" x14ac:dyDescent="0.25">
      <c r="F368" s="59"/>
      <c r="G368" s="60"/>
      <c r="H368" s="60"/>
      <c r="I368" s="60"/>
      <c r="J368" s="60"/>
      <c r="K368" s="60"/>
      <c r="L368" s="60"/>
      <c r="M368" s="60"/>
      <c r="N368" s="60"/>
    </row>
    <row r="369" spans="6:14" ht="15.75" x14ac:dyDescent="0.25">
      <c r="F369" s="59"/>
      <c r="G369" s="60"/>
      <c r="H369" s="60"/>
      <c r="I369" s="60"/>
      <c r="J369" s="60"/>
      <c r="K369" s="60"/>
      <c r="L369" s="60"/>
      <c r="M369" s="60"/>
      <c r="N369" s="60"/>
    </row>
    <row r="370" spans="6:14" ht="15.75" x14ac:dyDescent="0.25">
      <c r="F370" s="59"/>
      <c r="G370" s="60"/>
      <c r="H370" s="60"/>
      <c r="I370" s="60"/>
      <c r="J370" s="60"/>
      <c r="K370" s="60"/>
      <c r="L370" s="60"/>
      <c r="M370" s="60"/>
      <c r="N370" s="60"/>
    </row>
    <row r="371" spans="6:14" ht="15.75" x14ac:dyDescent="0.25">
      <c r="F371" s="59"/>
      <c r="G371" s="60"/>
      <c r="H371" s="60"/>
      <c r="I371" s="60"/>
      <c r="J371" s="60"/>
      <c r="K371" s="60"/>
      <c r="L371" s="60"/>
      <c r="M371" s="60"/>
      <c r="N371" s="60"/>
    </row>
    <row r="372" spans="6:14" ht="15.75" x14ac:dyDescent="0.25">
      <c r="F372" s="59"/>
      <c r="G372" s="60"/>
      <c r="H372" s="60"/>
      <c r="I372" s="60"/>
      <c r="J372" s="60"/>
      <c r="K372" s="60"/>
      <c r="L372" s="60"/>
      <c r="M372" s="60"/>
      <c r="N372" s="60"/>
    </row>
    <row r="373" spans="6:14" ht="15.75" x14ac:dyDescent="0.25">
      <c r="F373" s="59"/>
      <c r="G373" s="60"/>
      <c r="H373" s="60"/>
      <c r="I373" s="60"/>
      <c r="J373" s="60"/>
      <c r="K373" s="60"/>
      <c r="L373" s="60"/>
      <c r="M373" s="60"/>
      <c r="N373" s="60"/>
    </row>
    <row r="374" spans="6:14" ht="15.75" x14ac:dyDescent="0.25">
      <c r="F374" s="59"/>
      <c r="G374" s="60"/>
      <c r="H374" s="60"/>
      <c r="I374" s="60"/>
      <c r="J374" s="60"/>
      <c r="K374" s="60"/>
      <c r="L374" s="60"/>
      <c r="M374" s="60"/>
      <c r="N374" s="60"/>
    </row>
    <row r="375" spans="6:14" ht="15.75" x14ac:dyDescent="0.25">
      <c r="F375" s="59"/>
      <c r="G375" s="60"/>
      <c r="H375" s="60"/>
      <c r="I375" s="60"/>
      <c r="J375" s="60"/>
      <c r="K375" s="60"/>
      <c r="L375" s="60"/>
      <c r="M375" s="60"/>
      <c r="N375" s="60"/>
    </row>
    <row r="376" spans="6:14" ht="15.75" x14ac:dyDescent="0.25">
      <c r="F376" s="59"/>
      <c r="G376" s="60"/>
      <c r="H376" s="60"/>
      <c r="I376" s="60"/>
      <c r="J376" s="60"/>
      <c r="K376" s="60"/>
      <c r="L376" s="60"/>
      <c r="M376" s="60"/>
      <c r="N376" s="60"/>
    </row>
    <row r="377" spans="6:14" ht="15.75" x14ac:dyDescent="0.25">
      <c r="F377" s="59"/>
      <c r="G377" s="60"/>
      <c r="H377" s="60"/>
      <c r="I377" s="60"/>
      <c r="J377" s="60"/>
      <c r="K377" s="60"/>
      <c r="L377" s="60"/>
      <c r="M377" s="60"/>
      <c r="N377" s="60"/>
    </row>
    <row r="378" spans="6:14" ht="15.75" x14ac:dyDescent="0.25">
      <c r="F378" s="59"/>
      <c r="G378" s="60"/>
      <c r="H378" s="60"/>
      <c r="I378" s="60"/>
      <c r="J378" s="60"/>
      <c r="K378" s="60"/>
      <c r="L378" s="60"/>
      <c r="M378" s="60"/>
      <c r="N378" s="60"/>
    </row>
    <row r="379" spans="6:14" ht="15.75" x14ac:dyDescent="0.25">
      <c r="F379" s="59"/>
      <c r="G379" s="60"/>
      <c r="H379" s="60"/>
      <c r="I379" s="60"/>
      <c r="J379" s="60"/>
      <c r="K379" s="60"/>
      <c r="L379" s="60"/>
      <c r="M379" s="60"/>
      <c r="N379" s="60"/>
    </row>
    <row r="380" spans="6:14" ht="15.75" x14ac:dyDescent="0.25">
      <c r="F380" s="59"/>
      <c r="G380" s="60"/>
      <c r="H380" s="60"/>
      <c r="I380" s="60"/>
      <c r="J380" s="60"/>
      <c r="K380" s="60"/>
      <c r="L380" s="60"/>
      <c r="M380" s="60"/>
      <c r="N380" s="60"/>
    </row>
    <row r="381" spans="6:14" ht="15.75" x14ac:dyDescent="0.25">
      <c r="F381" s="59"/>
      <c r="G381" s="60"/>
      <c r="H381" s="60"/>
      <c r="I381" s="60"/>
      <c r="J381" s="60"/>
      <c r="K381" s="60"/>
      <c r="L381" s="60"/>
      <c r="M381" s="60"/>
      <c r="N381" s="60"/>
    </row>
    <row r="382" spans="6:14" ht="15.75" x14ac:dyDescent="0.25">
      <c r="F382" s="59"/>
      <c r="G382" s="60"/>
      <c r="H382" s="60"/>
      <c r="I382" s="60"/>
      <c r="J382" s="60"/>
      <c r="K382" s="60"/>
      <c r="L382" s="60"/>
      <c r="M382" s="60"/>
      <c r="N382" s="60"/>
    </row>
    <row r="383" spans="6:14" ht="15.75" x14ac:dyDescent="0.25">
      <c r="F383" s="59"/>
      <c r="G383" s="60"/>
      <c r="H383" s="60"/>
      <c r="I383" s="60"/>
      <c r="J383" s="60"/>
      <c r="K383" s="60"/>
      <c r="L383" s="60"/>
      <c r="M383" s="60"/>
      <c r="N383" s="60"/>
    </row>
    <row r="384" spans="6:14" ht="15.75" x14ac:dyDescent="0.25">
      <c r="F384" s="59"/>
      <c r="G384" s="60"/>
      <c r="H384" s="60"/>
      <c r="I384" s="60"/>
      <c r="J384" s="60"/>
      <c r="K384" s="60"/>
      <c r="L384" s="60"/>
      <c r="M384" s="60"/>
      <c r="N384" s="60"/>
    </row>
    <row r="385" spans="6:14" ht="15.75" x14ac:dyDescent="0.25">
      <c r="F385" s="59"/>
      <c r="G385" s="60"/>
      <c r="H385" s="60"/>
      <c r="I385" s="60"/>
      <c r="J385" s="60"/>
      <c r="K385" s="60"/>
      <c r="L385" s="60"/>
      <c r="M385" s="60"/>
      <c r="N385" s="60"/>
    </row>
    <row r="386" spans="6:14" ht="15.75" x14ac:dyDescent="0.25">
      <c r="F386" s="59"/>
      <c r="G386" s="60"/>
      <c r="H386" s="60"/>
      <c r="I386" s="60"/>
      <c r="J386" s="60"/>
      <c r="K386" s="60"/>
      <c r="L386" s="60"/>
      <c r="M386" s="60"/>
      <c r="N386" s="60"/>
    </row>
    <row r="387" spans="6:14" ht="15.75" x14ac:dyDescent="0.25">
      <c r="F387" s="59"/>
      <c r="G387" s="60"/>
      <c r="H387" s="60"/>
      <c r="I387" s="60"/>
      <c r="J387" s="60"/>
      <c r="K387" s="60"/>
      <c r="L387" s="60"/>
      <c r="M387" s="60"/>
      <c r="N387" s="60"/>
    </row>
    <row r="388" spans="6:14" ht="15.75" x14ac:dyDescent="0.25">
      <c r="F388" s="59"/>
      <c r="G388" s="60"/>
      <c r="H388" s="60"/>
      <c r="I388" s="60"/>
      <c r="J388" s="60"/>
      <c r="K388" s="60"/>
      <c r="L388" s="60"/>
      <c r="M388" s="60"/>
      <c r="N388" s="60"/>
    </row>
    <row r="389" spans="6:14" ht="15.75" x14ac:dyDescent="0.25">
      <c r="F389" s="59"/>
      <c r="G389" s="60"/>
      <c r="H389" s="60"/>
      <c r="I389" s="60"/>
      <c r="J389" s="60"/>
      <c r="K389" s="60"/>
      <c r="L389" s="60"/>
      <c r="M389" s="60"/>
      <c r="N389" s="60"/>
    </row>
    <row r="390" spans="6:14" ht="15.75" x14ac:dyDescent="0.25">
      <c r="F390" s="59"/>
      <c r="G390" s="60"/>
      <c r="H390" s="60"/>
      <c r="I390" s="60"/>
      <c r="J390" s="60"/>
      <c r="K390" s="60"/>
      <c r="L390" s="60"/>
      <c r="M390" s="60"/>
      <c r="N390" s="60"/>
    </row>
    <row r="391" spans="6:14" ht="15.75" x14ac:dyDescent="0.25">
      <c r="F391" s="59"/>
      <c r="G391" s="60"/>
      <c r="H391" s="60"/>
      <c r="I391" s="60"/>
      <c r="J391" s="60"/>
      <c r="K391" s="60"/>
      <c r="L391" s="60"/>
      <c r="M391" s="60"/>
      <c r="N391" s="60"/>
    </row>
    <row r="392" spans="6:14" ht="15.75" x14ac:dyDescent="0.25">
      <c r="F392" s="59"/>
      <c r="G392" s="60"/>
      <c r="H392" s="60"/>
      <c r="I392" s="60"/>
      <c r="J392" s="60"/>
      <c r="K392" s="60"/>
      <c r="L392" s="60"/>
      <c r="M392" s="60"/>
      <c r="N392" s="60"/>
    </row>
    <row r="393" spans="6:14" ht="15.75" x14ac:dyDescent="0.25">
      <c r="F393" s="59"/>
      <c r="G393" s="60"/>
      <c r="H393" s="60"/>
      <c r="I393" s="60"/>
      <c r="J393" s="60"/>
      <c r="K393" s="60"/>
      <c r="L393" s="60"/>
      <c r="M393" s="60"/>
      <c r="N393" s="60"/>
    </row>
    <row r="394" spans="6:14" ht="15.75" x14ac:dyDescent="0.25">
      <c r="F394" s="59"/>
      <c r="G394" s="60"/>
      <c r="H394" s="60"/>
      <c r="I394" s="60"/>
      <c r="J394" s="60"/>
      <c r="K394" s="60"/>
      <c r="L394" s="60"/>
      <c r="M394" s="60"/>
      <c r="N394" s="60"/>
    </row>
    <row r="395" spans="6:14" ht="15.75" x14ac:dyDescent="0.25">
      <c r="F395" s="59"/>
      <c r="G395" s="60"/>
      <c r="H395" s="60"/>
      <c r="I395" s="60"/>
      <c r="J395" s="60"/>
      <c r="K395" s="60"/>
      <c r="L395" s="60"/>
      <c r="M395" s="60"/>
      <c r="N395" s="60"/>
    </row>
    <row r="396" spans="6:14" ht="15.75" x14ac:dyDescent="0.25">
      <c r="F396" s="59"/>
      <c r="G396" s="60"/>
      <c r="H396" s="60"/>
      <c r="I396" s="60"/>
      <c r="J396" s="60"/>
      <c r="K396" s="60"/>
      <c r="L396" s="60"/>
      <c r="M396" s="60"/>
      <c r="N396" s="60"/>
    </row>
    <row r="397" spans="6:14" ht="15.75" x14ac:dyDescent="0.25">
      <c r="F397" s="59"/>
      <c r="G397" s="60"/>
      <c r="H397" s="60"/>
      <c r="I397" s="60"/>
      <c r="J397" s="60"/>
      <c r="K397" s="60"/>
      <c r="L397" s="60"/>
      <c r="M397" s="60"/>
      <c r="N397" s="60"/>
    </row>
    <row r="398" spans="6:14" ht="15.75" x14ac:dyDescent="0.25">
      <c r="F398" s="59"/>
      <c r="G398" s="60"/>
      <c r="H398" s="60"/>
      <c r="I398" s="60"/>
      <c r="J398" s="60"/>
      <c r="K398" s="60"/>
      <c r="L398" s="60"/>
      <c r="M398" s="60"/>
      <c r="N398" s="60"/>
    </row>
    <row r="399" spans="6:14" ht="15.75" x14ac:dyDescent="0.25">
      <c r="F399" s="59"/>
      <c r="G399" s="60"/>
      <c r="H399" s="60"/>
      <c r="I399" s="60"/>
      <c r="J399" s="60"/>
      <c r="K399" s="60"/>
      <c r="L399" s="60"/>
      <c r="M399" s="60"/>
      <c r="N399" s="60"/>
    </row>
    <row r="400" spans="6:14" ht="15.75" x14ac:dyDescent="0.25">
      <c r="F400" s="59"/>
      <c r="G400" s="60"/>
      <c r="H400" s="60"/>
      <c r="I400" s="60"/>
      <c r="J400" s="60"/>
      <c r="K400" s="60"/>
      <c r="L400" s="60"/>
      <c r="M400" s="60"/>
      <c r="N400" s="60"/>
    </row>
    <row r="401" spans="6:14" ht="15.75" x14ac:dyDescent="0.25">
      <c r="F401" s="59"/>
      <c r="G401" s="60"/>
      <c r="H401" s="60"/>
      <c r="I401" s="60"/>
      <c r="J401" s="60"/>
      <c r="K401" s="60"/>
      <c r="L401" s="60"/>
      <c r="M401" s="60"/>
      <c r="N401" s="60"/>
    </row>
    <row r="402" spans="6:14" ht="15.75" x14ac:dyDescent="0.25">
      <c r="F402" s="59"/>
      <c r="G402" s="60"/>
      <c r="H402" s="60"/>
      <c r="I402" s="60"/>
      <c r="J402" s="60"/>
      <c r="K402" s="60"/>
      <c r="L402" s="60"/>
      <c r="M402" s="60"/>
      <c r="N402" s="60"/>
    </row>
    <row r="403" spans="6:14" ht="15.75" x14ac:dyDescent="0.25">
      <c r="F403" s="59"/>
      <c r="G403" s="60"/>
      <c r="H403" s="60"/>
      <c r="I403" s="60"/>
      <c r="J403" s="60"/>
      <c r="K403" s="60"/>
      <c r="L403" s="60"/>
      <c r="M403" s="60"/>
      <c r="N403" s="60"/>
    </row>
    <row r="404" spans="6:14" ht="15.75" x14ac:dyDescent="0.25">
      <c r="F404" s="59"/>
      <c r="G404" s="60"/>
      <c r="H404" s="60"/>
      <c r="I404" s="60"/>
      <c r="J404" s="60"/>
      <c r="K404" s="60"/>
      <c r="L404" s="60"/>
      <c r="M404" s="60"/>
      <c r="N404" s="60"/>
    </row>
    <row r="405" spans="6:14" ht="15.75" x14ac:dyDescent="0.25">
      <c r="F405" s="59"/>
      <c r="G405" s="60"/>
      <c r="H405" s="60"/>
      <c r="I405" s="60"/>
      <c r="J405" s="60"/>
      <c r="K405" s="60"/>
      <c r="L405" s="60"/>
      <c r="M405" s="60"/>
      <c r="N405" s="60"/>
    </row>
    <row r="406" spans="6:14" ht="15.75" x14ac:dyDescent="0.25">
      <c r="F406" s="59"/>
      <c r="G406" s="60"/>
      <c r="H406" s="60"/>
      <c r="I406" s="60"/>
      <c r="J406" s="60"/>
      <c r="K406" s="60"/>
      <c r="L406" s="60"/>
      <c r="M406" s="60"/>
      <c r="N406" s="60"/>
    </row>
    <row r="407" spans="6:14" ht="15.75" x14ac:dyDescent="0.25">
      <c r="F407" s="59"/>
      <c r="G407" s="60"/>
      <c r="H407" s="60"/>
      <c r="I407" s="60"/>
      <c r="J407" s="60"/>
      <c r="K407" s="60"/>
      <c r="L407" s="60"/>
      <c r="M407" s="60"/>
      <c r="N407" s="60"/>
    </row>
    <row r="408" spans="6:14" ht="15.75" x14ac:dyDescent="0.25">
      <c r="F408" s="59"/>
      <c r="G408" s="60"/>
      <c r="H408" s="60"/>
      <c r="I408" s="60"/>
      <c r="J408" s="60"/>
      <c r="K408" s="60"/>
      <c r="L408" s="60"/>
      <c r="M408" s="60"/>
      <c r="N408" s="60"/>
    </row>
    <row r="409" spans="6:14" ht="15.75" x14ac:dyDescent="0.25">
      <c r="F409" s="59"/>
      <c r="G409" s="60"/>
      <c r="H409" s="60"/>
      <c r="I409" s="60"/>
      <c r="J409" s="60"/>
      <c r="K409" s="60"/>
      <c r="L409" s="60"/>
      <c r="M409" s="60"/>
      <c r="N409" s="60"/>
    </row>
    <row r="410" spans="6:14" ht="15.75" x14ac:dyDescent="0.25">
      <c r="F410" s="59"/>
      <c r="G410" s="60"/>
      <c r="H410" s="60"/>
      <c r="I410" s="60"/>
      <c r="J410" s="60"/>
      <c r="K410" s="60"/>
      <c r="L410" s="60"/>
      <c r="M410" s="60"/>
      <c r="N410" s="60"/>
    </row>
    <row r="411" spans="6:14" ht="15.75" x14ac:dyDescent="0.25">
      <c r="F411" s="59"/>
      <c r="G411" s="60"/>
      <c r="H411" s="60"/>
      <c r="I411" s="60"/>
      <c r="J411" s="60"/>
      <c r="K411" s="60"/>
      <c r="L411" s="60"/>
      <c r="M411" s="60"/>
      <c r="N411" s="60"/>
    </row>
    <row r="412" spans="6:14" ht="15.75" x14ac:dyDescent="0.25">
      <c r="F412" s="59"/>
      <c r="G412" s="60"/>
      <c r="H412" s="60"/>
      <c r="I412" s="60"/>
      <c r="J412" s="60"/>
      <c r="K412" s="60"/>
      <c r="L412" s="60"/>
      <c r="M412" s="60"/>
      <c r="N412" s="60"/>
    </row>
    <row r="413" spans="6:14" ht="15.75" x14ac:dyDescent="0.25">
      <c r="F413" s="59"/>
      <c r="G413" s="60"/>
      <c r="H413" s="60"/>
      <c r="I413" s="60"/>
      <c r="J413" s="60"/>
      <c r="K413" s="60"/>
      <c r="L413" s="60"/>
      <c r="M413" s="60"/>
      <c r="N413" s="60"/>
    </row>
    <row r="414" spans="6:14" ht="15.75" x14ac:dyDescent="0.25">
      <c r="F414" s="59"/>
      <c r="G414" s="60"/>
      <c r="H414" s="60"/>
      <c r="I414" s="60"/>
      <c r="J414" s="60"/>
      <c r="K414" s="60"/>
      <c r="L414" s="60"/>
      <c r="M414" s="60"/>
      <c r="N414" s="60"/>
    </row>
    <row r="415" spans="6:14" ht="15.75" x14ac:dyDescent="0.25">
      <c r="F415" s="59"/>
      <c r="G415" s="60"/>
      <c r="H415" s="60"/>
      <c r="I415" s="60"/>
      <c r="J415" s="60"/>
      <c r="K415" s="60"/>
      <c r="L415" s="60"/>
      <c r="M415" s="60"/>
      <c r="N415" s="60"/>
    </row>
    <row r="416" spans="6:14" ht="15.75" x14ac:dyDescent="0.25">
      <c r="F416" s="59"/>
      <c r="G416" s="60"/>
      <c r="H416" s="60"/>
      <c r="I416" s="60"/>
      <c r="J416" s="60"/>
      <c r="K416" s="60"/>
      <c r="L416" s="60"/>
      <c r="M416" s="60"/>
      <c r="N416" s="60"/>
    </row>
    <row r="417" spans="6:14" ht="15.75" x14ac:dyDescent="0.25">
      <c r="F417" s="59"/>
      <c r="G417" s="60"/>
      <c r="H417" s="60"/>
      <c r="I417" s="60"/>
      <c r="J417" s="60"/>
      <c r="K417" s="60"/>
      <c r="L417" s="60"/>
      <c r="M417" s="60"/>
      <c r="N417" s="60"/>
    </row>
    <row r="418" spans="6:14" ht="15.75" x14ac:dyDescent="0.25">
      <c r="F418" s="59"/>
      <c r="G418" s="60"/>
      <c r="H418" s="60"/>
      <c r="I418" s="60"/>
      <c r="J418" s="60"/>
      <c r="K418" s="60"/>
      <c r="L418" s="60"/>
      <c r="M418" s="60"/>
      <c r="N418" s="60"/>
    </row>
    <row r="419" spans="6:14" ht="15.75" x14ac:dyDescent="0.25">
      <c r="F419" s="59"/>
      <c r="G419" s="60"/>
      <c r="H419" s="60"/>
      <c r="I419" s="60"/>
      <c r="J419" s="60"/>
      <c r="K419" s="60"/>
      <c r="L419" s="60"/>
      <c r="M419" s="60"/>
      <c r="N419" s="60"/>
    </row>
    <row r="420" spans="6:14" ht="15.75" x14ac:dyDescent="0.25">
      <c r="F420" s="59"/>
      <c r="G420" s="60"/>
      <c r="H420" s="60"/>
      <c r="I420" s="60"/>
      <c r="J420" s="60"/>
      <c r="K420" s="60"/>
      <c r="L420" s="60"/>
      <c r="M420" s="60"/>
      <c r="N420" s="60"/>
    </row>
    <row r="421" spans="6:14" ht="15.75" x14ac:dyDescent="0.25">
      <c r="F421" s="59"/>
      <c r="G421" s="60"/>
      <c r="H421" s="60"/>
      <c r="I421" s="60"/>
      <c r="J421" s="60"/>
      <c r="K421" s="60"/>
      <c r="L421" s="60"/>
      <c r="M421" s="60"/>
      <c r="N421" s="60"/>
    </row>
    <row r="422" spans="6:14" ht="15.75" x14ac:dyDescent="0.25">
      <c r="F422" s="59"/>
      <c r="G422" s="60"/>
      <c r="H422" s="60"/>
      <c r="I422" s="60"/>
      <c r="J422" s="60"/>
      <c r="K422" s="60"/>
      <c r="L422" s="60"/>
      <c r="M422" s="60"/>
      <c r="N422" s="60"/>
    </row>
    <row r="423" spans="6:14" ht="15.75" x14ac:dyDescent="0.25">
      <c r="F423" s="59"/>
      <c r="G423" s="60"/>
      <c r="H423" s="60"/>
      <c r="I423" s="60"/>
      <c r="J423" s="60"/>
      <c r="K423" s="60"/>
      <c r="L423" s="60"/>
      <c r="M423" s="60"/>
      <c r="N423" s="60"/>
    </row>
    <row r="424" spans="6:14" ht="15.75" x14ac:dyDescent="0.25">
      <c r="F424" s="59"/>
      <c r="G424" s="60"/>
      <c r="H424" s="60"/>
      <c r="I424" s="60"/>
      <c r="J424" s="60"/>
      <c r="K424" s="60"/>
      <c r="L424" s="60"/>
      <c r="M424" s="60"/>
      <c r="N424" s="60"/>
    </row>
    <row r="425" spans="6:14" ht="15.75" x14ac:dyDescent="0.25">
      <c r="F425" s="59"/>
      <c r="G425" s="60"/>
      <c r="H425" s="60"/>
      <c r="I425" s="60"/>
      <c r="J425" s="60"/>
      <c r="K425" s="60"/>
      <c r="L425" s="60"/>
      <c r="M425" s="60"/>
      <c r="N425" s="60"/>
    </row>
    <row r="426" spans="6:14" ht="15.75" x14ac:dyDescent="0.25">
      <c r="F426" s="59"/>
      <c r="G426" s="60"/>
      <c r="H426" s="60"/>
      <c r="I426" s="60"/>
      <c r="J426" s="60"/>
      <c r="K426" s="60"/>
      <c r="L426" s="60"/>
      <c r="M426" s="60"/>
      <c r="N426" s="60"/>
    </row>
    <row r="427" spans="6:14" ht="15.75" x14ac:dyDescent="0.25">
      <c r="F427" s="59"/>
      <c r="G427" s="60"/>
      <c r="H427" s="60"/>
      <c r="I427" s="60"/>
      <c r="J427" s="60"/>
      <c r="K427" s="60"/>
      <c r="L427" s="60"/>
      <c r="M427" s="60"/>
      <c r="N427" s="60"/>
    </row>
    <row r="428" spans="6:14" ht="15.75" x14ac:dyDescent="0.25">
      <c r="F428" s="59"/>
      <c r="G428" s="60"/>
      <c r="H428" s="60"/>
      <c r="I428" s="60"/>
      <c r="J428" s="60"/>
      <c r="K428" s="60"/>
      <c r="L428" s="60"/>
      <c r="M428" s="60"/>
      <c r="N428" s="60"/>
    </row>
    <row r="429" spans="6:14" ht="15.75" x14ac:dyDescent="0.25">
      <c r="F429" s="59"/>
      <c r="G429" s="60"/>
      <c r="H429" s="60"/>
      <c r="I429" s="60"/>
      <c r="J429" s="60"/>
      <c r="K429" s="60"/>
      <c r="L429" s="60"/>
      <c r="M429" s="60"/>
      <c r="N429" s="60"/>
    </row>
    <row r="430" spans="6:14" ht="15.75" x14ac:dyDescent="0.25">
      <c r="F430" s="59"/>
      <c r="G430" s="60"/>
      <c r="H430" s="60"/>
      <c r="I430" s="60"/>
      <c r="J430" s="60"/>
      <c r="K430" s="60"/>
      <c r="L430" s="60"/>
      <c r="M430" s="60"/>
      <c r="N430" s="60"/>
    </row>
    <row r="431" spans="6:14" ht="15.75" x14ac:dyDescent="0.25">
      <c r="F431" s="59"/>
      <c r="G431" s="60"/>
      <c r="H431" s="60"/>
      <c r="I431" s="60"/>
      <c r="J431" s="60"/>
      <c r="K431" s="60"/>
      <c r="L431" s="60"/>
      <c r="M431" s="60"/>
      <c r="N431" s="60"/>
    </row>
    <row r="432" spans="6:14" ht="15.75" x14ac:dyDescent="0.25">
      <c r="F432" s="59"/>
      <c r="G432" s="60"/>
      <c r="H432" s="60"/>
      <c r="I432" s="60"/>
      <c r="J432" s="60"/>
      <c r="K432" s="60"/>
      <c r="L432" s="60"/>
      <c r="M432" s="60"/>
      <c r="N432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D3" transitionEvaluation="1"/>
  <dimension ref="A1:O432"/>
  <sheetViews>
    <sheetView showGridLines="0" topLeftCell="D3" workbookViewId="0">
      <selection activeCell="G26" sqref="G26:N26"/>
    </sheetView>
  </sheetViews>
  <sheetFormatPr defaultColWidth="21.5703125" defaultRowHeight="15" x14ac:dyDescent="0.2"/>
  <cols>
    <col min="1" max="1" width="3.42578125" style="1" hidden="1" customWidth="1"/>
    <col min="2" max="2" width="0.140625" style="1" hidden="1" customWidth="1"/>
    <col min="3" max="3" width="5" style="1" hidden="1" customWidth="1"/>
    <col min="4" max="4" width="0.28515625" style="1" customWidth="1"/>
    <col min="5" max="5" width="16.28515625" style="1" customWidth="1"/>
    <col min="6" max="6" width="15.28515625" style="21" customWidth="1"/>
    <col min="7" max="7" width="14.140625" style="1" customWidth="1"/>
    <col min="8" max="8" width="14.28515625" style="1" customWidth="1"/>
    <col min="9" max="9" width="11.7109375" style="1" customWidth="1"/>
    <col min="10" max="10" width="15.28515625" style="1" customWidth="1"/>
    <col min="11" max="11" width="14.5703125" style="1" customWidth="1"/>
    <col min="12" max="12" width="15" style="1" customWidth="1"/>
    <col min="13" max="13" width="14.5703125" style="1" customWidth="1"/>
    <col min="14" max="14" width="14.28515625" style="1" customWidth="1"/>
    <col min="15" max="15" width="10.5703125" style="1" customWidth="1"/>
    <col min="16" max="256" width="21.5703125" style="1"/>
    <col min="257" max="259" width="0" style="1" hidden="1" customWidth="1"/>
    <col min="260" max="260" width="0.28515625" style="1" customWidth="1"/>
    <col min="261" max="261" width="16.28515625" style="1" customWidth="1"/>
    <col min="262" max="262" width="15.28515625" style="1" customWidth="1"/>
    <col min="263" max="263" width="14.140625" style="1" customWidth="1"/>
    <col min="264" max="264" width="14.28515625" style="1" customWidth="1"/>
    <col min="265" max="265" width="11.7109375" style="1" customWidth="1"/>
    <col min="266" max="266" width="15.28515625" style="1" customWidth="1"/>
    <col min="267" max="267" width="14.5703125" style="1" customWidth="1"/>
    <col min="268" max="268" width="15" style="1" customWidth="1"/>
    <col min="269" max="269" width="14.5703125" style="1" customWidth="1"/>
    <col min="270" max="270" width="14.28515625" style="1" customWidth="1"/>
    <col min="271" max="271" width="10.5703125" style="1" customWidth="1"/>
    <col min="272" max="512" width="21.5703125" style="1"/>
    <col min="513" max="515" width="0" style="1" hidden="1" customWidth="1"/>
    <col min="516" max="516" width="0.28515625" style="1" customWidth="1"/>
    <col min="517" max="517" width="16.28515625" style="1" customWidth="1"/>
    <col min="518" max="518" width="15.28515625" style="1" customWidth="1"/>
    <col min="519" max="519" width="14.140625" style="1" customWidth="1"/>
    <col min="520" max="520" width="14.28515625" style="1" customWidth="1"/>
    <col min="521" max="521" width="11.7109375" style="1" customWidth="1"/>
    <col min="522" max="522" width="15.28515625" style="1" customWidth="1"/>
    <col min="523" max="523" width="14.5703125" style="1" customWidth="1"/>
    <col min="524" max="524" width="15" style="1" customWidth="1"/>
    <col min="525" max="525" width="14.5703125" style="1" customWidth="1"/>
    <col min="526" max="526" width="14.28515625" style="1" customWidth="1"/>
    <col min="527" max="527" width="10.5703125" style="1" customWidth="1"/>
    <col min="528" max="768" width="21.5703125" style="1"/>
    <col min="769" max="771" width="0" style="1" hidden="1" customWidth="1"/>
    <col min="772" max="772" width="0.28515625" style="1" customWidth="1"/>
    <col min="773" max="773" width="16.28515625" style="1" customWidth="1"/>
    <col min="774" max="774" width="15.28515625" style="1" customWidth="1"/>
    <col min="775" max="775" width="14.140625" style="1" customWidth="1"/>
    <col min="776" max="776" width="14.28515625" style="1" customWidth="1"/>
    <col min="777" max="777" width="11.7109375" style="1" customWidth="1"/>
    <col min="778" max="778" width="15.28515625" style="1" customWidth="1"/>
    <col min="779" max="779" width="14.5703125" style="1" customWidth="1"/>
    <col min="780" max="780" width="15" style="1" customWidth="1"/>
    <col min="781" max="781" width="14.5703125" style="1" customWidth="1"/>
    <col min="782" max="782" width="14.28515625" style="1" customWidth="1"/>
    <col min="783" max="783" width="10.5703125" style="1" customWidth="1"/>
    <col min="784" max="1024" width="21.5703125" style="1"/>
    <col min="1025" max="1027" width="0" style="1" hidden="1" customWidth="1"/>
    <col min="1028" max="1028" width="0.28515625" style="1" customWidth="1"/>
    <col min="1029" max="1029" width="16.28515625" style="1" customWidth="1"/>
    <col min="1030" max="1030" width="15.28515625" style="1" customWidth="1"/>
    <col min="1031" max="1031" width="14.140625" style="1" customWidth="1"/>
    <col min="1032" max="1032" width="14.28515625" style="1" customWidth="1"/>
    <col min="1033" max="1033" width="11.7109375" style="1" customWidth="1"/>
    <col min="1034" max="1034" width="15.28515625" style="1" customWidth="1"/>
    <col min="1035" max="1035" width="14.5703125" style="1" customWidth="1"/>
    <col min="1036" max="1036" width="15" style="1" customWidth="1"/>
    <col min="1037" max="1037" width="14.5703125" style="1" customWidth="1"/>
    <col min="1038" max="1038" width="14.28515625" style="1" customWidth="1"/>
    <col min="1039" max="1039" width="10.5703125" style="1" customWidth="1"/>
    <col min="1040" max="1280" width="21.5703125" style="1"/>
    <col min="1281" max="1283" width="0" style="1" hidden="1" customWidth="1"/>
    <col min="1284" max="1284" width="0.28515625" style="1" customWidth="1"/>
    <col min="1285" max="1285" width="16.28515625" style="1" customWidth="1"/>
    <col min="1286" max="1286" width="15.28515625" style="1" customWidth="1"/>
    <col min="1287" max="1287" width="14.140625" style="1" customWidth="1"/>
    <col min="1288" max="1288" width="14.28515625" style="1" customWidth="1"/>
    <col min="1289" max="1289" width="11.7109375" style="1" customWidth="1"/>
    <col min="1290" max="1290" width="15.28515625" style="1" customWidth="1"/>
    <col min="1291" max="1291" width="14.5703125" style="1" customWidth="1"/>
    <col min="1292" max="1292" width="15" style="1" customWidth="1"/>
    <col min="1293" max="1293" width="14.5703125" style="1" customWidth="1"/>
    <col min="1294" max="1294" width="14.28515625" style="1" customWidth="1"/>
    <col min="1295" max="1295" width="10.5703125" style="1" customWidth="1"/>
    <col min="1296" max="1536" width="21.5703125" style="1"/>
    <col min="1537" max="1539" width="0" style="1" hidden="1" customWidth="1"/>
    <col min="1540" max="1540" width="0.28515625" style="1" customWidth="1"/>
    <col min="1541" max="1541" width="16.28515625" style="1" customWidth="1"/>
    <col min="1542" max="1542" width="15.28515625" style="1" customWidth="1"/>
    <col min="1543" max="1543" width="14.140625" style="1" customWidth="1"/>
    <col min="1544" max="1544" width="14.28515625" style="1" customWidth="1"/>
    <col min="1545" max="1545" width="11.7109375" style="1" customWidth="1"/>
    <col min="1546" max="1546" width="15.28515625" style="1" customWidth="1"/>
    <col min="1547" max="1547" width="14.5703125" style="1" customWidth="1"/>
    <col min="1548" max="1548" width="15" style="1" customWidth="1"/>
    <col min="1549" max="1549" width="14.5703125" style="1" customWidth="1"/>
    <col min="1550" max="1550" width="14.28515625" style="1" customWidth="1"/>
    <col min="1551" max="1551" width="10.5703125" style="1" customWidth="1"/>
    <col min="1552" max="1792" width="21.5703125" style="1"/>
    <col min="1793" max="1795" width="0" style="1" hidden="1" customWidth="1"/>
    <col min="1796" max="1796" width="0.28515625" style="1" customWidth="1"/>
    <col min="1797" max="1797" width="16.28515625" style="1" customWidth="1"/>
    <col min="1798" max="1798" width="15.28515625" style="1" customWidth="1"/>
    <col min="1799" max="1799" width="14.140625" style="1" customWidth="1"/>
    <col min="1800" max="1800" width="14.28515625" style="1" customWidth="1"/>
    <col min="1801" max="1801" width="11.7109375" style="1" customWidth="1"/>
    <col min="1802" max="1802" width="15.28515625" style="1" customWidth="1"/>
    <col min="1803" max="1803" width="14.5703125" style="1" customWidth="1"/>
    <col min="1804" max="1804" width="15" style="1" customWidth="1"/>
    <col min="1805" max="1805" width="14.5703125" style="1" customWidth="1"/>
    <col min="1806" max="1806" width="14.28515625" style="1" customWidth="1"/>
    <col min="1807" max="1807" width="10.5703125" style="1" customWidth="1"/>
    <col min="1808" max="2048" width="21.5703125" style="1"/>
    <col min="2049" max="2051" width="0" style="1" hidden="1" customWidth="1"/>
    <col min="2052" max="2052" width="0.28515625" style="1" customWidth="1"/>
    <col min="2053" max="2053" width="16.28515625" style="1" customWidth="1"/>
    <col min="2054" max="2054" width="15.28515625" style="1" customWidth="1"/>
    <col min="2055" max="2055" width="14.140625" style="1" customWidth="1"/>
    <col min="2056" max="2056" width="14.28515625" style="1" customWidth="1"/>
    <col min="2057" max="2057" width="11.7109375" style="1" customWidth="1"/>
    <col min="2058" max="2058" width="15.28515625" style="1" customWidth="1"/>
    <col min="2059" max="2059" width="14.5703125" style="1" customWidth="1"/>
    <col min="2060" max="2060" width="15" style="1" customWidth="1"/>
    <col min="2061" max="2061" width="14.5703125" style="1" customWidth="1"/>
    <col min="2062" max="2062" width="14.28515625" style="1" customWidth="1"/>
    <col min="2063" max="2063" width="10.5703125" style="1" customWidth="1"/>
    <col min="2064" max="2304" width="21.5703125" style="1"/>
    <col min="2305" max="2307" width="0" style="1" hidden="1" customWidth="1"/>
    <col min="2308" max="2308" width="0.28515625" style="1" customWidth="1"/>
    <col min="2309" max="2309" width="16.28515625" style="1" customWidth="1"/>
    <col min="2310" max="2310" width="15.28515625" style="1" customWidth="1"/>
    <col min="2311" max="2311" width="14.140625" style="1" customWidth="1"/>
    <col min="2312" max="2312" width="14.28515625" style="1" customWidth="1"/>
    <col min="2313" max="2313" width="11.7109375" style="1" customWidth="1"/>
    <col min="2314" max="2314" width="15.28515625" style="1" customWidth="1"/>
    <col min="2315" max="2315" width="14.5703125" style="1" customWidth="1"/>
    <col min="2316" max="2316" width="15" style="1" customWidth="1"/>
    <col min="2317" max="2317" width="14.5703125" style="1" customWidth="1"/>
    <col min="2318" max="2318" width="14.28515625" style="1" customWidth="1"/>
    <col min="2319" max="2319" width="10.5703125" style="1" customWidth="1"/>
    <col min="2320" max="2560" width="21.5703125" style="1"/>
    <col min="2561" max="2563" width="0" style="1" hidden="1" customWidth="1"/>
    <col min="2564" max="2564" width="0.28515625" style="1" customWidth="1"/>
    <col min="2565" max="2565" width="16.28515625" style="1" customWidth="1"/>
    <col min="2566" max="2566" width="15.28515625" style="1" customWidth="1"/>
    <col min="2567" max="2567" width="14.140625" style="1" customWidth="1"/>
    <col min="2568" max="2568" width="14.28515625" style="1" customWidth="1"/>
    <col min="2569" max="2569" width="11.7109375" style="1" customWidth="1"/>
    <col min="2570" max="2570" width="15.28515625" style="1" customWidth="1"/>
    <col min="2571" max="2571" width="14.5703125" style="1" customWidth="1"/>
    <col min="2572" max="2572" width="15" style="1" customWidth="1"/>
    <col min="2573" max="2573" width="14.5703125" style="1" customWidth="1"/>
    <col min="2574" max="2574" width="14.28515625" style="1" customWidth="1"/>
    <col min="2575" max="2575" width="10.5703125" style="1" customWidth="1"/>
    <col min="2576" max="2816" width="21.5703125" style="1"/>
    <col min="2817" max="2819" width="0" style="1" hidden="1" customWidth="1"/>
    <col min="2820" max="2820" width="0.28515625" style="1" customWidth="1"/>
    <col min="2821" max="2821" width="16.28515625" style="1" customWidth="1"/>
    <col min="2822" max="2822" width="15.28515625" style="1" customWidth="1"/>
    <col min="2823" max="2823" width="14.140625" style="1" customWidth="1"/>
    <col min="2824" max="2824" width="14.28515625" style="1" customWidth="1"/>
    <col min="2825" max="2825" width="11.7109375" style="1" customWidth="1"/>
    <col min="2826" max="2826" width="15.28515625" style="1" customWidth="1"/>
    <col min="2827" max="2827" width="14.5703125" style="1" customWidth="1"/>
    <col min="2828" max="2828" width="15" style="1" customWidth="1"/>
    <col min="2829" max="2829" width="14.5703125" style="1" customWidth="1"/>
    <col min="2830" max="2830" width="14.28515625" style="1" customWidth="1"/>
    <col min="2831" max="2831" width="10.5703125" style="1" customWidth="1"/>
    <col min="2832" max="3072" width="21.5703125" style="1"/>
    <col min="3073" max="3075" width="0" style="1" hidden="1" customWidth="1"/>
    <col min="3076" max="3076" width="0.28515625" style="1" customWidth="1"/>
    <col min="3077" max="3077" width="16.28515625" style="1" customWidth="1"/>
    <col min="3078" max="3078" width="15.28515625" style="1" customWidth="1"/>
    <col min="3079" max="3079" width="14.140625" style="1" customWidth="1"/>
    <col min="3080" max="3080" width="14.28515625" style="1" customWidth="1"/>
    <col min="3081" max="3081" width="11.7109375" style="1" customWidth="1"/>
    <col min="3082" max="3082" width="15.28515625" style="1" customWidth="1"/>
    <col min="3083" max="3083" width="14.5703125" style="1" customWidth="1"/>
    <col min="3084" max="3084" width="15" style="1" customWidth="1"/>
    <col min="3085" max="3085" width="14.5703125" style="1" customWidth="1"/>
    <col min="3086" max="3086" width="14.28515625" style="1" customWidth="1"/>
    <col min="3087" max="3087" width="10.5703125" style="1" customWidth="1"/>
    <col min="3088" max="3328" width="21.5703125" style="1"/>
    <col min="3329" max="3331" width="0" style="1" hidden="1" customWidth="1"/>
    <col min="3332" max="3332" width="0.28515625" style="1" customWidth="1"/>
    <col min="3333" max="3333" width="16.28515625" style="1" customWidth="1"/>
    <col min="3334" max="3334" width="15.28515625" style="1" customWidth="1"/>
    <col min="3335" max="3335" width="14.140625" style="1" customWidth="1"/>
    <col min="3336" max="3336" width="14.28515625" style="1" customWidth="1"/>
    <col min="3337" max="3337" width="11.7109375" style="1" customWidth="1"/>
    <col min="3338" max="3338" width="15.28515625" style="1" customWidth="1"/>
    <col min="3339" max="3339" width="14.5703125" style="1" customWidth="1"/>
    <col min="3340" max="3340" width="15" style="1" customWidth="1"/>
    <col min="3341" max="3341" width="14.5703125" style="1" customWidth="1"/>
    <col min="3342" max="3342" width="14.28515625" style="1" customWidth="1"/>
    <col min="3343" max="3343" width="10.5703125" style="1" customWidth="1"/>
    <col min="3344" max="3584" width="21.5703125" style="1"/>
    <col min="3585" max="3587" width="0" style="1" hidden="1" customWidth="1"/>
    <col min="3588" max="3588" width="0.28515625" style="1" customWidth="1"/>
    <col min="3589" max="3589" width="16.28515625" style="1" customWidth="1"/>
    <col min="3590" max="3590" width="15.28515625" style="1" customWidth="1"/>
    <col min="3591" max="3591" width="14.140625" style="1" customWidth="1"/>
    <col min="3592" max="3592" width="14.28515625" style="1" customWidth="1"/>
    <col min="3593" max="3593" width="11.7109375" style="1" customWidth="1"/>
    <col min="3594" max="3594" width="15.28515625" style="1" customWidth="1"/>
    <col min="3595" max="3595" width="14.5703125" style="1" customWidth="1"/>
    <col min="3596" max="3596" width="15" style="1" customWidth="1"/>
    <col min="3597" max="3597" width="14.5703125" style="1" customWidth="1"/>
    <col min="3598" max="3598" width="14.28515625" style="1" customWidth="1"/>
    <col min="3599" max="3599" width="10.5703125" style="1" customWidth="1"/>
    <col min="3600" max="3840" width="21.5703125" style="1"/>
    <col min="3841" max="3843" width="0" style="1" hidden="1" customWidth="1"/>
    <col min="3844" max="3844" width="0.28515625" style="1" customWidth="1"/>
    <col min="3845" max="3845" width="16.28515625" style="1" customWidth="1"/>
    <col min="3846" max="3846" width="15.28515625" style="1" customWidth="1"/>
    <col min="3847" max="3847" width="14.140625" style="1" customWidth="1"/>
    <col min="3848" max="3848" width="14.28515625" style="1" customWidth="1"/>
    <col min="3849" max="3849" width="11.7109375" style="1" customWidth="1"/>
    <col min="3850" max="3850" width="15.28515625" style="1" customWidth="1"/>
    <col min="3851" max="3851" width="14.5703125" style="1" customWidth="1"/>
    <col min="3852" max="3852" width="15" style="1" customWidth="1"/>
    <col min="3853" max="3853" width="14.5703125" style="1" customWidth="1"/>
    <col min="3854" max="3854" width="14.28515625" style="1" customWidth="1"/>
    <col min="3855" max="3855" width="10.5703125" style="1" customWidth="1"/>
    <col min="3856" max="4096" width="21.5703125" style="1"/>
    <col min="4097" max="4099" width="0" style="1" hidden="1" customWidth="1"/>
    <col min="4100" max="4100" width="0.28515625" style="1" customWidth="1"/>
    <col min="4101" max="4101" width="16.28515625" style="1" customWidth="1"/>
    <col min="4102" max="4102" width="15.28515625" style="1" customWidth="1"/>
    <col min="4103" max="4103" width="14.140625" style="1" customWidth="1"/>
    <col min="4104" max="4104" width="14.28515625" style="1" customWidth="1"/>
    <col min="4105" max="4105" width="11.7109375" style="1" customWidth="1"/>
    <col min="4106" max="4106" width="15.28515625" style="1" customWidth="1"/>
    <col min="4107" max="4107" width="14.5703125" style="1" customWidth="1"/>
    <col min="4108" max="4108" width="15" style="1" customWidth="1"/>
    <col min="4109" max="4109" width="14.5703125" style="1" customWidth="1"/>
    <col min="4110" max="4110" width="14.28515625" style="1" customWidth="1"/>
    <col min="4111" max="4111" width="10.5703125" style="1" customWidth="1"/>
    <col min="4112" max="4352" width="21.5703125" style="1"/>
    <col min="4353" max="4355" width="0" style="1" hidden="1" customWidth="1"/>
    <col min="4356" max="4356" width="0.28515625" style="1" customWidth="1"/>
    <col min="4357" max="4357" width="16.28515625" style="1" customWidth="1"/>
    <col min="4358" max="4358" width="15.28515625" style="1" customWidth="1"/>
    <col min="4359" max="4359" width="14.140625" style="1" customWidth="1"/>
    <col min="4360" max="4360" width="14.28515625" style="1" customWidth="1"/>
    <col min="4361" max="4361" width="11.7109375" style="1" customWidth="1"/>
    <col min="4362" max="4362" width="15.28515625" style="1" customWidth="1"/>
    <col min="4363" max="4363" width="14.5703125" style="1" customWidth="1"/>
    <col min="4364" max="4364" width="15" style="1" customWidth="1"/>
    <col min="4365" max="4365" width="14.5703125" style="1" customWidth="1"/>
    <col min="4366" max="4366" width="14.28515625" style="1" customWidth="1"/>
    <col min="4367" max="4367" width="10.5703125" style="1" customWidth="1"/>
    <col min="4368" max="4608" width="21.5703125" style="1"/>
    <col min="4609" max="4611" width="0" style="1" hidden="1" customWidth="1"/>
    <col min="4612" max="4612" width="0.28515625" style="1" customWidth="1"/>
    <col min="4613" max="4613" width="16.28515625" style="1" customWidth="1"/>
    <col min="4614" max="4614" width="15.28515625" style="1" customWidth="1"/>
    <col min="4615" max="4615" width="14.140625" style="1" customWidth="1"/>
    <col min="4616" max="4616" width="14.28515625" style="1" customWidth="1"/>
    <col min="4617" max="4617" width="11.7109375" style="1" customWidth="1"/>
    <col min="4618" max="4618" width="15.28515625" style="1" customWidth="1"/>
    <col min="4619" max="4619" width="14.5703125" style="1" customWidth="1"/>
    <col min="4620" max="4620" width="15" style="1" customWidth="1"/>
    <col min="4621" max="4621" width="14.5703125" style="1" customWidth="1"/>
    <col min="4622" max="4622" width="14.28515625" style="1" customWidth="1"/>
    <col min="4623" max="4623" width="10.5703125" style="1" customWidth="1"/>
    <col min="4624" max="4864" width="21.5703125" style="1"/>
    <col min="4865" max="4867" width="0" style="1" hidden="1" customWidth="1"/>
    <col min="4868" max="4868" width="0.28515625" style="1" customWidth="1"/>
    <col min="4869" max="4869" width="16.28515625" style="1" customWidth="1"/>
    <col min="4870" max="4870" width="15.28515625" style="1" customWidth="1"/>
    <col min="4871" max="4871" width="14.140625" style="1" customWidth="1"/>
    <col min="4872" max="4872" width="14.28515625" style="1" customWidth="1"/>
    <col min="4873" max="4873" width="11.7109375" style="1" customWidth="1"/>
    <col min="4874" max="4874" width="15.28515625" style="1" customWidth="1"/>
    <col min="4875" max="4875" width="14.5703125" style="1" customWidth="1"/>
    <col min="4876" max="4876" width="15" style="1" customWidth="1"/>
    <col min="4877" max="4877" width="14.5703125" style="1" customWidth="1"/>
    <col min="4878" max="4878" width="14.28515625" style="1" customWidth="1"/>
    <col min="4879" max="4879" width="10.5703125" style="1" customWidth="1"/>
    <col min="4880" max="5120" width="21.5703125" style="1"/>
    <col min="5121" max="5123" width="0" style="1" hidden="1" customWidth="1"/>
    <col min="5124" max="5124" width="0.28515625" style="1" customWidth="1"/>
    <col min="5125" max="5125" width="16.28515625" style="1" customWidth="1"/>
    <col min="5126" max="5126" width="15.28515625" style="1" customWidth="1"/>
    <col min="5127" max="5127" width="14.140625" style="1" customWidth="1"/>
    <col min="5128" max="5128" width="14.28515625" style="1" customWidth="1"/>
    <col min="5129" max="5129" width="11.7109375" style="1" customWidth="1"/>
    <col min="5130" max="5130" width="15.28515625" style="1" customWidth="1"/>
    <col min="5131" max="5131" width="14.5703125" style="1" customWidth="1"/>
    <col min="5132" max="5132" width="15" style="1" customWidth="1"/>
    <col min="5133" max="5133" width="14.5703125" style="1" customWidth="1"/>
    <col min="5134" max="5134" width="14.28515625" style="1" customWidth="1"/>
    <col min="5135" max="5135" width="10.5703125" style="1" customWidth="1"/>
    <col min="5136" max="5376" width="21.5703125" style="1"/>
    <col min="5377" max="5379" width="0" style="1" hidden="1" customWidth="1"/>
    <col min="5380" max="5380" width="0.28515625" style="1" customWidth="1"/>
    <col min="5381" max="5381" width="16.28515625" style="1" customWidth="1"/>
    <col min="5382" max="5382" width="15.28515625" style="1" customWidth="1"/>
    <col min="5383" max="5383" width="14.140625" style="1" customWidth="1"/>
    <col min="5384" max="5384" width="14.28515625" style="1" customWidth="1"/>
    <col min="5385" max="5385" width="11.7109375" style="1" customWidth="1"/>
    <col min="5386" max="5386" width="15.28515625" style="1" customWidth="1"/>
    <col min="5387" max="5387" width="14.5703125" style="1" customWidth="1"/>
    <col min="5388" max="5388" width="15" style="1" customWidth="1"/>
    <col min="5389" max="5389" width="14.5703125" style="1" customWidth="1"/>
    <col min="5390" max="5390" width="14.28515625" style="1" customWidth="1"/>
    <col min="5391" max="5391" width="10.5703125" style="1" customWidth="1"/>
    <col min="5392" max="5632" width="21.5703125" style="1"/>
    <col min="5633" max="5635" width="0" style="1" hidden="1" customWidth="1"/>
    <col min="5636" max="5636" width="0.28515625" style="1" customWidth="1"/>
    <col min="5637" max="5637" width="16.28515625" style="1" customWidth="1"/>
    <col min="5638" max="5638" width="15.28515625" style="1" customWidth="1"/>
    <col min="5639" max="5639" width="14.140625" style="1" customWidth="1"/>
    <col min="5640" max="5640" width="14.28515625" style="1" customWidth="1"/>
    <col min="5641" max="5641" width="11.7109375" style="1" customWidth="1"/>
    <col min="5642" max="5642" width="15.28515625" style="1" customWidth="1"/>
    <col min="5643" max="5643" width="14.5703125" style="1" customWidth="1"/>
    <col min="5644" max="5644" width="15" style="1" customWidth="1"/>
    <col min="5645" max="5645" width="14.5703125" style="1" customWidth="1"/>
    <col min="5646" max="5646" width="14.28515625" style="1" customWidth="1"/>
    <col min="5647" max="5647" width="10.5703125" style="1" customWidth="1"/>
    <col min="5648" max="5888" width="21.5703125" style="1"/>
    <col min="5889" max="5891" width="0" style="1" hidden="1" customWidth="1"/>
    <col min="5892" max="5892" width="0.28515625" style="1" customWidth="1"/>
    <col min="5893" max="5893" width="16.28515625" style="1" customWidth="1"/>
    <col min="5894" max="5894" width="15.28515625" style="1" customWidth="1"/>
    <col min="5895" max="5895" width="14.140625" style="1" customWidth="1"/>
    <col min="5896" max="5896" width="14.28515625" style="1" customWidth="1"/>
    <col min="5897" max="5897" width="11.7109375" style="1" customWidth="1"/>
    <col min="5898" max="5898" width="15.28515625" style="1" customWidth="1"/>
    <col min="5899" max="5899" width="14.5703125" style="1" customWidth="1"/>
    <col min="5900" max="5900" width="15" style="1" customWidth="1"/>
    <col min="5901" max="5901" width="14.5703125" style="1" customWidth="1"/>
    <col min="5902" max="5902" width="14.28515625" style="1" customWidth="1"/>
    <col min="5903" max="5903" width="10.5703125" style="1" customWidth="1"/>
    <col min="5904" max="6144" width="21.5703125" style="1"/>
    <col min="6145" max="6147" width="0" style="1" hidden="1" customWidth="1"/>
    <col min="6148" max="6148" width="0.28515625" style="1" customWidth="1"/>
    <col min="6149" max="6149" width="16.28515625" style="1" customWidth="1"/>
    <col min="6150" max="6150" width="15.28515625" style="1" customWidth="1"/>
    <col min="6151" max="6151" width="14.140625" style="1" customWidth="1"/>
    <col min="6152" max="6152" width="14.28515625" style="1" customWidth="1"/>
    <col min="6153" max="6153" width="11.7109375" style="1" customWidth="1"/>
    <col min="6154" max="6154" width="15.28515625" style="1" customWidth="1"/>
    <col min="6155" max="6155" width="14.5703125" style="1" customWidth="1"/>
    <col min="6156" max="6156" width="15" style="1" customWidth="1"/>
    <col min="6157" max="6157" width="14.5703125" style="1" customWidth="1"/>
    <col min="6158" max="6158" width="14.28515625" style="1" customWidth="1"/>
    <col min="6159" max="6159" width="10.5703125" style="1" customWidth="1"/>
    <col min="6160" max="6400" width="21.5703125" style="1"/>
    <col min="6401" max="6403" width="0" style="1" hidden="1" customWidth="1"/>
    <col min="6404" max="6404" width="0.28515625" style="1" customWidth="1"/>
    <col min="6405" max="6405" width="16.28515625" style="1" customWidth="1"/>
    <col min="6406" max="6406" width="15.28515625" style="1" customWidth="1"/>
    <col min="6407" max="6407" width="14.140625" style="1" customWidth="1"/>
    <col min="6408" max="6408" width="14.28515625" style="1" customWidth="1"/>
    <col min="6409" max="6409" width="11.7109375" style="1" customWidth="1"/>
    <col min="6410" max="6410" width="15.28515625" style="1" customWidth="1"/>
    <col min="6411" max="6411" width="14.5703125" style="1" customWidth="1"/>
    <col min="6412" max="6412" width="15" style="1" customWidth="1"/>
    <col min="6413" max="6413" width="14.5703125" style="1" customWidth="1"/>
    <col min="6414" max="6414" width="14.28515625" style="1" customWidth="1"/>
    <col min="6415" max="6415" width="10.5703125" style="1" customWidth="1"/>
    <col min="6416" max="6656" width="21.5703125" style="1"/>
    <col min="6657" max="6659" width="0" style="1" hidden="1" customWidth="1"/>
    <col min="6660" max="6660" width="0.28515625" style="1" customWidth="1"/>
    <col min="6661" max="6661" width="16.28515625" style="1" customWidth="1"/>
    <col min="6662" max="6662" width="15.28515625" style="1" customWidth="1"/>
    <col min="6663" max="6663" width="14.140625" style="1" customWidth="1"/>
    <col min="6664" max="6664" width="14.28515625" style="1" customWidth="1"/>
    <col min="6665" max="6665" width="11.7109375" style="1" customWidth="1"/>
    <col min="6666" max="6666" width="15.28515625" style="1" customWidth="1"/>
    <col min="6667" max="6667" width="14.5703125" style="1" customWidth="1"/>
    <col min="6668" max="6668" width="15" style="1" customWidth="1"/>
    <col min="6669" max="6669" width="14.5703125" style="1" customWidth="1"/>
    <col min="6670" max="6670" width="14.28515625" style="1" customWidth="1"/>
    <col min="6671" max="6671" width="10.5703125" style="1" customWidth="1"/>
    <col min="6672" max="6912" width="21.5703125" style="1"/>
    <col min="6913" max="6915" width="0" style="1" hidden="1" customWidth="1"/>
    <col min="6916" max="6916" width="0.28515625" style="1" customWidth="1"/>
    <col min="6917" max="6917" width="16.28515625" style="1" customWidth="1"/>
    <col min="6918" max="6918" width="15.28515625" style="1" customWidth="1"/>
    <col min="6919" max="6919" width="14.140625" style="1" customWidth="1"/>
    <col min="6920" max="6920" width="14.28515625" style="1" customWidth="1"/>
    <col min="6921" max="6921" width="11.7109375" style="1" customWidth="1"/>
    <col min="6922" max="6922" width="15.28515625" style="1" customWidth="1"/>
    <col min="6923" max="6923" width="14.5703125" style="1" customWidth="1"/>
    <col min="6924" max="6924" width="15" style="1" customWidth="1"/>
    <col min="6925" max="6925" width="14.5703125" style="1" customWidth="1"/>
    <col min="6926" max="6926" width="14.28515625" style="1" customWidth="1"/>
    <col min="6927" max="6927" width="10.5703125" style="1" customWidth="1"/>
    <col min="6928" max="7168" width="21.5703125" style="1"/>
    <col min="7169" max="7171" width="0" style="1" hidden="1" customWidth="1"/>
    <col min="7172" max="7172" width="0.28515625" style="1" customWidth="1"/>
    <col min="7173" max="7173" width="16.28515625" style="1" customWidth="1"/>
    <col min="7174" max="7174" width="15.28515625" style="1" customWidth="1"/>
    <col min="7175" max="7175" width="14.140625" style="1" customWidth="1"/>
    <col min="7176" max="7176" width="14.28515625" style="1" customWidth="1"/>
    <col min="7177" max="7177" width="11.7109375" style="1" customWidth="1"/>
    <col min="7178" max="7178" width="15.28515625" style="1" customWidth="1"/>
    <col min="7179" max="7179" width="14.5703125" style="1" customWidth="1"/>
    <col min="7180" max="7180" width="15" style="1" customWidth="1"/>
    <col min="7181" max="7181" width="14.5703125" style="1" customWidth="1"/>
    <col min="7182" max="7182" width="14.28515625" style="1" customWidth="1"/>
    <col min="7183" max="7183" width="10.5703125" style="1" customWidth="1"/>
    <col min="7184" max="7424" width="21.5703125" style="1"/>
    <col min="7425" max="7427" width="0" style="1" hidden="1" customWidth="1"/>
    <col min="7428" max="7428" width="0.28515625" style="1" customWidth="1"/>
    <col min="7429" max="7429" width="16.28515625" style="1" customWidth="1"/>
    <col min="7430" max="7430" width="15.28515625" style="1" customWidth="1"/>
    <col min="7431" max="7431" width="14.140625" style="1" customWidth="1"/>
    <col min="7432" max="7432" width="14.28515625" style="1" customWidth="1"/>
    <col min="7433" max="7433" width="11.7109375" style="1" customWidth="1"/>
    <col min="7434" max="7434" width="15.28515625" style="1" customWidth="1"/>
    <col min="7435" max="7435" width="14.5703125" style="1" customWidth="1"/>
    <col min="7436" max="7436" width="15" style="1" customWidth="1"/>
    <col min="7437" max="7437" width="14.5703125" style="1" customWidth="1"/>
    <col min="7438" max="7438" width="14.28515625" style="1" customWidth="1"/>
    <col min="7439" max="7439" width="10.5703125" style="1" customWidth="1"/>
    <col min="7440" max="7680" width="21.5703125" style="1"/>
    <col min="7681" max="7683" width="0" style="1" hidden="1" customWidth="1"/>
    <col min="7684" max="7684" width="0.28515625" style="1" customWidth="1"/>
    <col min="7685" max="7685" width="16.28515625" style="1" customWidth="1"/>
    <col min="7686" max="7686" width="15.28515625" style="1" customWidth="1"/>
    <col min="7687" max="7687" width="14.140625" style="1" customWidth="1"/>
    <col min="7688" max="7688" width="14.28515625" style="1" customWidth="1"/>
    <col min="7689" max="7689" width="11.7109375" style="1" customWidth="1"/>
    <col min="7690" max="7690" width="15.28515625" style="1" customWidth="1"/>
    <col min="7691" max="7691" width="14.5703125" style="1" customWidth="1"/>
    <col min="7692" max="7692" width="15" style="1" customWidth="1"/>
    <col min="7693" max="7693" width="14.5703125" style="1" customWidth="1"/>
    <col min="7694" max="7694" width="14.28515625" style="1" customWidth="1"/>
    <col min="7695" max="7695" width="10.5703125" style="1" customWidth="1"/>
    <col min="7696" max="7936" width="21.5703125" style="1"/>
    <col min="7937" max="7939" width="0" style="1" hidden="1" customWidth="1"/>
    <col min="7940" max="7940" width="0.28515625" style="1" customWidth="1"/>
    <col min="7941" max="7941" width="16.28515625" style="1" customWidth="1"/>
    <col min="7942" max="7942" width="15.28515625" style="1" customWidth="1"/>
    <col min="7943" max="7943" width="14.140625" style="1" customWidth="1"/>
    <col min="7944" max="7944" width="14.28515625" style="1" customWidth="1"/>
    <col min="7945" max="7945" width="11.7109375" style="1" customWidth="1"/>
    <col min="7946" max="7946" width="15.28515625" style="1" customWidth="1"/>
    <col min="7947" max="7947" width="14.5703125" style="1" customWidth="1"/>
    <col min="7948" max="7948" width="15" style="1" customWidth="1"/>
    <col min="7949" max="7949" width="14.5703125" style="1" customWidth="1"/>
    <col min="7950" max="7950" width="14.28515625" style="1" customWidth="1"/>
    <col min="7951" max="7951" width="10.5703125" style="1" customWidth="1"/>
    <col min="7952" max="8192" width="21.5703125" style="1"/>
    <col min="8193" max="8195" width="0" style="1" hidden="1" customWidth="1"/>
    <col min="8196" max="8196" width="0.28515625" style="1" customWidth="1"/>
    <col min="8197" max="8197" width="16.28515625" style="1" customWidth="1"/>
    <col min="8198" max="8198" width="15.28515625" style="1" customWidth="1"/>
    <col min="8199" max="8199" width="14.140625" style="1" customWidth="1"/>
    <col min="8200" max="8200" width="14.28515625" style="1" customWidth="1"/>
    <col min="8201" max="8201" width="11.7109375" style="1" customWidth="1"/>
    <col min="8202" max="8202" width="15.28515625" style="1" customWidth="1"/>
    <col min="8203" max="8203" width="14.5703125" style="1" customWidth="1"/>
    <col min="8204" max="8204" width="15" style="1" customWidth="1"/>
    <col min="8205" max="8205" width="14.5703125" style="1" customWidth="1"/>
    <col min="8206" max="8206" width="14.28515625" style="1" customWidth="1"/>
    <col min="8207" max="8207" width="10.5703125" style="1" customWidth="1"/>
    <col min="8208" max="8448" width="21.5703125" style="1"/>
    <col min="8449" max="8451" width="0" style="1" hidden="1" customWidth="1"/>
    <col min="8452" max="8452" width="0.28515625" style="1" customWidth="1"/>
    <col min="8453" max="8453" width="16.28515625" style="1" customWidth="1"/>
    <col min="8454" max="8454" width="15.28515625" style="1" customWidth="1"/>
    <col min="8455" max="8455" width="14.140625" style="1" customWidth="1"/>
    <col min="8456" max="8456" width="14.28515625" style="1" customWidth="1"/>
    <col min="8457" max="8457" width="11.7109375" style="1" customWidth="1"/>
    <col min="8458" max="8458" width="15.28515625" style="1" customWidth="1"/>
    <col min="8459" max="8459" width="14.5703125" style="1" customWidth="1"/>
    <col min="8460" max="8460" width="15" style="1" customWidth="1"/>
    <col min="8461" max="8461" width="14.5703125" style="1" customWidth="1"/>
    <col min="8462" max="8462" width="14.28515625" style="1" customWidth="1"/>
    <col min="8463" max="8463" width="10.5703125" style="1" customWidth="1"/>
    <col min="8464" max="8704" width="21.5703125" style="1"/>
    <col min="8705" max="8707" width="0" style="1" hidden="1" customWidth="1"/>
    <col min="8708" max="8708" width="0.28515625" style="1" customWidth="1"/>
    <col min="8709" max="8709" width="16.28515625" style="1" customWidth="1"/>
    <col min="8710" max="8710" width="15.28515625" style="1" customWidth="1"/>
    <col min="8711" max="8711" width="14.140625" style="1" customWidth="1"/>
    <col min="8712" max="8712" width="14.28515625" style="1" customWidth="1"/>
    <col min="8713" max="8713" width="11.7109375" style="1" customWidth="1"/>
    <col min="8714" max="8714" width="15.28515625" style="1" customWidth="1"/>
    <col min="8715" max="8715" width="14.5703125" style="1" customWidth="1"/>
    <col min="8716" max="8716" width="15" style="1" customWidth="1"/>
    <col min="8717" max="8717" width="14.5703125" style="1" customWidth="1"/>
    <col min="8718" max="8718" width="14.28515625" style="1" customWidth="1"/>
    <col min="8719" max="8719" width="10.5703125" style="1" customWidth="1"/>
    <col min="8720" max="8960" width="21.5703125" style="1"/>
    <col min="8961" max="8963" width="0" style="1" hidden="1" customWidth="1"/>
    <col min="8964" max="8964" width="0.28515625" style="1" customWidth="1"/>
    <col min="8965" max="8965" width="16.28515625" style="1" customWidth="1"/>
    <col min="8966" max="8966" width="15.28515625" style="1" customWidth="1"/>
    <col min="8967" max="8967" width="14.140625" style="1" customWidth="1"/>
    <col min="8968" max="8968" width="14.28515625" style="1" customWidth="1"/>
    <col min="8969" max="8969" width="11.7109375" style="1" customWidth="1"/>
    <col min="8970" max="8970" width="15.28515625" style="1" customWidth="1"/>
    <col min="8971" max="8971" width="14.5703125" style="1" customWidth="1"/>
    <col min="8972" max="8972" width="15" style="1" customWidth="1"/>
    <col min="8973" max="8973" width="14.5703125" style="1" customWidth="1"/>
    <col min="8974" max="8974" width="14.28515625" style="1" customWidth="1"/>
    <col min="8975" max="8975" width="10.5703125" style="1" customWidth="1"/>
    <col min="8976" max="9216" width="21.5703125" style="1"/>
    <col min="9217" max="9219" width="0" style="1" hidden="1" customWidth="1"/>
    <col min="9220" max="9220" width="0.28515625" style="1" customWidth="1"/>
    <col min="9221" max="9221" width="16.28515625" style="1" customWidth="1"/>
    <col min="9222" max="9222" width="15.28515625" style="1" customWidth="1"/>
    <col min="9223" max="9223" width="14.140625" style="1" customWidth="1"/>
    <col min="9224" max="9224" width="14.28515625" style="1" customWidth="1"/>
    <col min="9225" max="9225" width="11.7109375" style="1" customWidth="1"/>
    <col min="9226" max="9226" width="15.28515625" style="1" customWidth="1"/>
    <col min="9227" max="9227" width="14.5703125" style="1" customWidth="1"/>
    <col min="9228" max="9228" width="15" style="1" customWidth="1"/>
    <col min="9229" max="9229" width="14.5703125" style="1" customWidth="1"/>
    <col min="9230" max="9230" width="14.28515625" style="1" customWidth="1"/>
    <col min="9231" max="9231" width="10.5703125" style="1" customWidth="1"/>
    <col min="9232" max="9472" width="21.5703125" style="1"/>
    <col min="9473" max="9475" width="0" style="1" hidden="1" customWidth="1"/>
    <col min="9476" max="9476" width="0.28515625" style="1" customWidth="1"/>
    <col min="9477" max="9477" width="16.28515625" style="1" customWidth="1"/>
    <col min="9478" max="9478" width="15.28515625" style="1" customWidth="1"/>
    <col min="9479" max="9479" width="14.140625" style="1" customWidth="1"/>
    <col min="9480" max="9480" width="14.28515625" style="1" customWidth="1"/>
    <col min="9481" max="9481" width="11.7109375" style="1" customWidth="1"/>
    <col min="9482" max="9482" width="15.28515625" style="1" customWidth="1"/>
    <col min="9483" max="9483" width="14.5703125" style="1" customWidth="1"/>
    <col min="9484" max="9484" width="15" style="1" customWidth="1"/>
    <col min="9485" max="9485" width="14.5703125" style="1" customWidth="1"/>
    <col min="9486" max="9486" width="14.28515625" style="1" customWidth="1"/>
    <col min="9487" max="9487" width="10.5703125" style="1" customWidth="1"/>
    <col min="9488" max="9728" width="21.5703125" style="1"/>
    <col min="9729" max="9731" width="0" style="1" hidden="1" customWidth="1"/>
    <col min="9732" max="9732" width="0.28515625" style="1" customWidth="1"/>
    <col min="9733" max="9733" width="16.28515625" style="1" customWidth="1"/>
    <col min="9734" max="9734" width="15.28515625" style="1" customWidth="1"/>
    <col min="9735" max="9735" width="14.140625" style="1" customWidth="1"/>
    <col min="9736" max="9736" width="14.28515625" style="1" customWidth="1"/>
    <col min="9737" max="9737" width="11.7109375" style="1" customWidth="1"/>
    <col min="9738" max="9738" width="15.28515625" style="1" customWidth="1"/>
    <col min="9739" max="9739" width="14.5703125" style="1" customWidth="1"/>
    <col min="9740" max="9740" width="15" style="1" customWidth="1"/>
    <col min="9741" max="9741" width="14.5703125" style="1" customWidth="1"/>
    <col min="9742" max="9742" width="14.28515625" style="1" customWidth="1"/>
    <col min="9743" max="9743" width="10.5703125" style="1" customWidth="1"/>
    <col min="9744" max="9984" width="21.5703125" style="1"/>
    <col min="9985" max="9987" width="0" style="1" hidden="1" customWidth="1"/>
    <col min="9988" max="9988" width="0.28515625" style="1" customWidth="1"/>
    <col min="9989" max="9989" width="16.28515625" style="1" customWidth="1"/>
    <col min="9990" max="9990" width="15.28515625" style="1" customWidth="1"/>
    <col min="9991" max="9991" width="14.140625" style="1" customWidth="1"/>
    <col min="9992" max="9992" width="14.28515625" style="1" customWidth="1"/>
    <col min="9993" max="9993" width="11.7109375" style="1" customWidth="1"/>
    <col min="9994" max="9994" width="15.28515625" style="1" customWidth="1"/>
    <col min="9995" max="9995" width="14.5703125" style="1" customWidth="1"/>
    <col min="9996" max="9996" width="15" style="1" customWidth="1"/>
    <col min="9997" max="9997" width="14.5703125" style="1" customWidth="1"/>
    <col min="9998" max="9998" width="14.28515625" style="1" customWidth="1"/>
    <col min="9999" max="9999" width="10.5703125" style="1" customWidth="1"/>
    <col min="10000" max="10240" width="21.5703125" style="1"/>
    <col min="10241" max="10243" width="0" style="1" hidden="1" customWidth="1"/>
    <col min="10244" max="10244" width="0.28515625" style="1" customWidth="1"/>
    <col min="10245" max="10245" width="16.28515625" style="1" customWidth="1"/>
    <col min="10246" max="10246" width="15.28515625" style="1" customWidth="1"/>
    <col min="10247" max="10247" width="14.140625" style="1" customWidth="1"/>
    <col min="10248" max="10248" width="14.28515625" style="1" customWidth="1"/>
    <col min="10249" max="10249" width="11.7109375" style="1" customWidth="1"/>
    <col min="10250" max="10250" width="15.28515625" style="1" customWidth="1"/>
    <col min="10251" max="10251" width="14.5703125" style="1" customWidth="1"/>
    <col min="10252" max="10252" width="15" style="1" customWidth="1"/>
    <col min="10253" max="10253" width="14.5703125" style="1" customWidth="1"/>
    <col min="10254" max="10254" width="14.28515625" style="1" customWidth="1"/>
    <col min="10255" max="10255" width="10.5703125" style="1" customWidth="1"/>
    <col min="10256" max="10496" width="21.5703125" style="1"/>
    <col min="10497" max="10499" width="0" style="1" hidden="1" customWidth="1"/>
    <col min="10500" max="10500" width="0.28515625" style="1" customWidth="1"/>
    <col min="10501" max="10501" width="16.28515625" style="1" customWidth="1"/>
    <col min="10502" max="10502" width="15.28515625" style="1" customWidth="1"/>
    <col min="10503" max="10503" width="14.140625" style="1" customWidth="1"/>
    <col min="10504" max="10504" width="14.28515625" style="1" customWidth="1"/>
    <col min="10505" max="10505" width="11.7109375" style="1" customWidth="1"/>
    <col min="10506" max="10506" width="15.28515625" style="1" customWidth="1"/>
    <col min="10507" max="10507" width="14.5703125" style="1" customWidth="1"/>
    <col min="10508" max="10508" width="15" style="1" customWidth="1"/>
    <col min="10509" max="10509" width="14.5703125" style="1" customWidth="1"/>
    <col min="10510" max="10510" width="14.28515625" style="1" customWidth="1"/>
    <col min="10511" max="10511" width="10.5703125" style="1" customWidth="1"/>
    <col min="10512" max="10752" width="21.5703125" style="1"/>
    <col min="10753" max="10755" width="0" style="1" hidden="1" customWidth="1"/>
    <col min="10756" max="10756" width="0.28515625" style="1" customWidth="1"/>
    <col min="10757" max="10757" width="16.28515625" style="1" customWidth="1"/>
    <col min="10758" max="10758" width="15.28515625" style="1" customWidth="1"/>
    <col min="10759" max="10759" width="14.140625" style="1" customWidth="1"/>
    <col min="10760" max="10760" width="14.28515625" style="1" customWidth="1"/>
    <col min="10761" max="10761" width="11.7109375" style="1" customWidth="1"/>
    <col min="10762" max="10762" width="15.28515625" style="1" customWidth="1"/>
    <col min="10763" max="10763" width="14.5703125" style="1" customWidth="1"/>
    <col min="10764" max="10764" width="15" style="1" customWidth="1"/>
    <col min="10765" max="10765" width="14.5703125" style="1" customWidth="1"/>
    <col min="10766" max="10766" width="14.28515625" style="1" customWidth="1"/>
    <col min="10767" max="10767" width="10.5703125" style="1" customWidth="1"/>
    <col min="10768" max="11008" width="21.5703125" style="1"/>
    <col min="11009" max="11011" width="0" style="1" hidden="1" customWidth="1"/>
    <col min="11012" max="11012" width="0.28515625" style="1" customWidth="1"/>
    <col min="11013" max="11013" width="16.28515625" style="1" customWidth="1"/>
    <col min="11014" max="11014" width="15.28515625" style="1" customWidth="1"/>
    <col min="11015" max="11015" width="14.140625" style="1" customWidth="1"/>
    <col min="11016" max="11016" width="14.28515625" style="1" customWidth="1"/>
    <col min="11017" max="11017" width="11.7109375" style="1" customWidth="1"/>
    <col min="11018" max="11018" width="15.28515625" style="1" customWidth="1"/>
    <col min="11019" max="11019" width="14.5703125" style="1" customWidth="1"/>
    <col min="11020" max="11020" width="15" style="1" customWidth="1"/>
    <col min="11021" max="11021" width="14.5703125" style="1" customWidth="1"/>
    <col min="11022" max="11022" width="14.28515625" style="1" customWidth="1"/>
    <col min="11023" max="11023" width="10.5703125" style="1" customWidth="1"/>
    <col min="11024" max="11264" width="21.5703125" style="1"/>
    <col min="11265" max="11267" width="0" style="1" hidden="1" customWidth="1"/>
    <col min="11268" max="11268" width="0.28515625" style="1" customWidth="1"/>
    <col min="11269" max="11269" width="16.28515625" style="1" customWidth="1"/>
    <col min="11270" max="11270" width="15.28515625" style="1" customWidth="1"/>
    <col min="11271" max="11271" width="14.140625" style="1" customWidth="1"/>
    <col min="11272" max="11272" width="14.28515625" style="1" customWidth="1"/>
    <col min="11273" max="11273" width="11.7109375" style="1" customWidth="1"/>
    <col min="11274" max="11274" width="15.28515625" style="1" customWidth="1"/>
    <col min="11275" max="11275" width="14.5703125" style="1" customWidth="1"/>
    <col min="11276" max="11276" width="15" style="1" customWidth="1"/>
    <col min="11277" max="11277" width="14.5703125" style="1" customWidth="1"/>
    <col min="11278" max="11278" width="14.28515625" style="1" customWidth="1"/>
    <col min="11279" max="11279" width="10.5703125" style="1" customWidth="1"/>
    <col min="11280" max="11520" width="21.5703125" style="1"/>
    <col min="11521" max="11523" width="0" style="1" hidden="1" customWidth="1"/>
    <col min="11524" max="11524" width="0.28515625" style="1" customWidth="1"/>
    <col min="11525" max="11525" width="16.28515625" style="1" customWidth="1"/>
    <col min="11526" max="11526" width="15.28515625" style="1" customWidth="1"/>
    <col min="11527" max="11527" width="14.140625" style="1" customWidth="1"/>
    <col min="11528" max="11528" width="14.28515625" style="1" customWidth="1"/>
    <col min="11529" max="11529" width="11.7109375" style="1" customWidth="1"/>
    <col min="11530" max="11530" width="15.28515625" style="1" customWidth="1"/>
    <col min="11531" max="11531" width="14.5703125" style="1" customWidth="1"/>
    <col min="11532" max="11532" width="15" style="1" customWidth="1"/>
    <col min="11533" max="11533" width="14.5703125" style="1" customWidth="1"/>
    <col min="11534" max="11534" width="14.28515625" style="1" customWidth="1"/>
    <col min="11535" max="11535" width="10.5703125" style="1" customWidth="1"/>
    <col min="11536" max="11776" width="21.5703125" style="1"/>
    <col min="11777" max="11779" width="0" style="1" hidden="1" customWidth="1"/>
    <col min="11780" max="11780" width="0.28515625" style="1" customWidth="1"/>
    <col min="11781" max="11781" width="16.28515625" style="1" customWidth="1"/>
    <col min="11782" max="11782" width="15.28515625" style="1" customWidth="1"/>
    <col min="11783" max="11783" width="14.140625" style="1" customWidth="1"/>
    <col min="11784" max="11784" width="14.28515625" style="1" customWidth="1"/>
    <col min="11785" max="11785" width="11.7109375" style="1" customWidth="1"/>
    <col min="11786" max="11786" width="15.28515625" style="1" customWidth="1"/>
    <col min="11787" max="11787" width="14.5703125" style="1" customWidth="1"/>
    <col min="11788" max="11788" width="15" style="1" customWidth="1"/>
    <col min="11789" max="11789" width="14.5703125" style="1" customWidth="1"/>
    <col min="11790" max="11790" width="14.28515625" style="1" customWidth="1"/>
    <col min="11791" max="11791" width="10.5703125" style="1" customWidth="1"/>
    <col min="11792" max="12032" width="21.5703125" style="1"/>
    <col min="12033" max="12035" width="0" style="1" hidden="1" customWidth="1"/>
    <col min="12036" max="12036" width="0.28515625" style="1" customWidth="1"/>
    <col min="12037" max="12037" width="16.28515625" style="1" customWidth="1"/>
    <col min="12038" max="12038" width="15.28515625" style="1" customWidth="1"/>
    <col min="12039" max="12039" width="14.140625" style="1" customWidth="1"/>
    <col min="12040" max="12040" width="14.28515625" style="1" customWidth="1"/>
    <col min="12041" max="12041" width="11.7109375" style="1" customWidth="1"/>
    <col min="12042" max="12042" width="15.28515625" style="1" customWidth="1"/>
    <col min="12043" max="12043" width="14.5703125" style="1" customWidth="1"/>
    <col min="12044" max="12044" width="15" style="1" customWidth="1"/>
    <col min="12045" max="12045" width="14.5703125" style="1" customWidth="1"/>
    <col min="12046" max="12046" width="14.28515625" style="1" customWidth="1"/>
    <col min="12047" max="12047" width="10.5703125" style="1" customWidth="1"/>
    <col min="12048" max="12288" width="21.5703125" style="1"/>
    <col min="12289" max="12291" width="0" style="1" hidden="1" customWidth="1"/>
    <col min="12292" max="12292" width="0.28515625" style="1" customWidth="1"/>
    <col min="12293" max="12293" width="16.28515625" style="1" customWidth="1"/>
    <col min="12294" max="12294" width="15.28515625" style="1" customWidth="1"/>
    <col min="12295" max="12295" width="14.140625" style="1" customWidth="1"/>
    <col min="12296" max="12296" width="14.28515625" style="1" customWidth="1"/>
    <col min="12297" max="12297" width="11.7109375" style="1" customWidth="1"/>
    <col min="12298" max="12298" width="15.28515625" style="1" customWidth="1"/>
    <col min="12299" max="12299" width="14.5703125" style="1" customWidth="1"/>
    <col min="12300" max="12300" width="15" style="1" customWidth="1"/>
    <col min="12301" max="12301" width="14.5703125" style="1" customWidth="1"/>
    <col min="12302" max="12302" width="14.28515625" style="1" customWidth="1"/>
    <col min="12303" max="12303" width="10.5703125" style="1" customWidth="1"/>
    <col min="12304" max="12544" width="21.5703125" style="1"/>
    <col min="12545" max="12547" width="0" style="1" hidden="1" customWidth="1"/>
    <col min="12548" max="12548" width="0.28515625" style="1" customWidth="1"/>
    <col min="12549" max="12549" width="16.28515625" style="1" customWidth="1"/>
    <col min="12550" max="12550" width="15.28515625" style="1" customWidth="1"/>
    <col min="12551" max="12551" width="14.140625" style="1" customWidth="1"/>
    <col min="12552" max="12552" width="14.28515625" style="1" customWidth="1"/>
    <col min="12553" max="12553" width="11.7109375" style="1" customWidth="1"/>
    <col min="12554" max="12554" width="15.28515625" style="1" customWidth="1"/>
    <col min="12555" max="12555" width="14.5703125" style="1" customWidth="1"/>
    <col min="12556" max="12556" width="15" style="1" customWidth="1"/>
    <col min="12557" max="12557" width="14.5703125" style="1" customWidth="1"/>
    <col min="12558" max="12558" width="14.28515625" style="1" customWidth="1"/>
    <col min="12559" max="12559" width="10.5703125" style="1" customWidth="1"/>
    <col min="12560" max="12800" width="21.5703125" style="1"/>
    <col min="12801" max="12803" width="0" style="1" hidden="1" customWidth="1"/>
    <col min="12804" max="12804" width="0.28515625" style="1" customWidth="1"/>
    <col min="12805" max="12805" width="16.28515625" style="1" customWidth="1"/>
    <col min="12806" max="12806" width="15.28515625" style="1" customWidth="1"/>
    <col min="12807" max="12807" width="14.140625" style="1" customWidth="1"/>
    <col min="12808" max="12808" width="14.28515625" style="1" customWidth="1"/>
    <col min="12809" max="12809" width="11.7109375" style="1" customWidth="1"/>
    <col min="12810" max="12810" width="15.28515625" style="1" customWidth="1"/>
    <col min="12811" max="12811" width="14.5703125" style="1" customWidth="1"/>
    <col min="12812" max="12812" width="15" style="1" customWidth="1"/>
    <col min="12813" max="12813" width="14.5703125" style="1" customWidth="1"/>
    <col min="12814" max="12814" width="14.28515625" style="1" customWidth="1"/>
    <col min="12815" max="12815" width="10.5703125" style="1" customWidth="1"/>
    <col min="12816" max="13056" width="21.5703125" style="1"/>
    <col min="13057" max="13059" width="0" style="1" hidden="1" customWidth="1"/>
    <col min="13060" max="13060" width="0.28515625" style="1" customWidth="1"/>
    <col min="13061" max="13061" width="16.28515625" style="1" customWidth="1"/>
    <col min="13062" max="13062" width="15.28515625" style="1" customWidth="1"/>
    <col min="13063" max="13063" width="14.140625" style="1" customWidth="1"/>
    <col min="13064" max="13064" width="14.28515625" style="1" customWidth="1"/>
    <col min="13065" max="13065" width="11.7109375" style="1" customWidth="1"/>
    <col min="13066" max="13066" width="15.28515625" style="1" customWidth="1"/>
    <col min="13067" max="13067" width="14.5703125" style="1" customWidth="1"/>
    <col min="13068" max="13068" width="15" style="1" customWidth="1"/>
    <col min="13069" max="13069" width="14.5703125" style="1" customWidth="1"/>
    <col min="13070" max="13070" width="14.28515625" style="1" customWidth="1"/>
    <col min="13071" max="13071" width="10.5703125" style="1" customWidth="1"/>
    <col min="13072" max="13312" width="21.5703125" style="1"/>
    <col min="13313" max="13315" width="0" style="1" hidden="1" customWidth="1"/>
    <col min="13316" max="13316" width="0.28515625" style="1" customWidth="1"/>
    <col min="13317" max="13317" width="16.28515625" style="1" customWidth="1"/>
    <col min="13318" max="13318" width="15.28515625" style="1" customWidth="1"/>
    <col min="13319" max="13319" width="14.140625" style="1" customWidth="1"/>
    <col min="13320" max="13320" width="14.28515625" style="1" customWidth="1"/>
    <col min="13321" max="13321" width="11.7109375" style="1" customWidth="1"/>
    <col min="13322" max="13322" width="15.28515625" style="1" customWidth="1"/>
    <col min="13323" max="13323" width="14.5703125" style="1" customWidth="1"/>
    <col min="13324" max="13324" width="15" style="1" customWidth="1"/>
    <col min="13325" max="13325" width="14.5703125" style="1" customWidth="1"/>
    <col min="13326" max="13326" width="14.28515625" style="1" customWidth="1"/>
    <col min="13327" max="13327" width="10.5703125" style="1" customWidth="1"/>
    <col min="13328" max="13568" width="21.5703125" style="1"/>
    <col min="13569" max="13571" width="0" style="1" hidden="1" customWidth="1"/>
    <col min="13572" max="13572" width="0.28515625" style="1" customWidth="1"/>
    <col min="13573" max="13573" width="16.28515625" style="1" customWidth="1"/>
    <col min="13574" max="13574" width="15.28515625" style="1" customWidth="1"/>
    <col min="13575" max="13575" width="14.140625" style="1" customWidth="1"/>
    <col min="13576" max="13576" width="14.28515625" style="1" customWidth="1"/>
    <col min="13577" max="13577" width="11.7109375" style="1" customWidth="1"/>
    <col min="13578" max="13578" width="15.28515625" style="1" customWidth="1"/>
    <col min="13579" max="13579" width="14.5703125" style="1" customWidth="1"/>
    <col min="13580" max="13580" width="15" style="1" customWidth="1"/>
    <col min="13581" max="13581" width="14.5703125" style="1" customWidth="1"/>
    <col min="13582" max="13582" width="14.28515625" style="1" customWidth="1"/>
    <col min="13583" max="13583" width="10.5703125" style="1" customWidth="1"/>
    <col min="13584" max="13824" width="21.5703125" style="1"/>
    <col min="13825" max="13827" width="0" style="1" hidden="1" customWidth="1"/>
    <col min="13828" max="13828" width="0.28515625" style="1" customWidth="1"/>
    <col min="13829" max="13829" width="16.28515625" style="1" customWidth="1"/>
    <col min="13830" max="13830" width="15.28515625" style="1" customWidth="1"/>
    <col min="13831" max="13831" width="14.140625" style="1" customWidth="1"/>
    <col min="13832" max="13832" width="14.28515625" style="1" customWidth="1"/>
    <col min="13833" max="13833" width="11.7109375" style="1" customWidth="1"/>
    <col min="13834" max="13834" width="15.28515625" style="1" customWidth="1"/>
    <col min="13835" max="13835" width="14.5703125" style="1" customWidth="1"/>
    <col min="13836" max="13836" width="15" style="1" customWidth="1"/>
    <col min="13837" max="13837" width="14.5703125" style="1" customWidth="1"/>
    <col min="13838" max="13838" width="14.28515625" style="1" customWidth="1"/>
    <col min="13839" max="13839" width="10.5703125" style="1" customWidth="1"/>
    <col min="13840" max="14080" width="21.5703125" style="1"/>
    <col min="14081" max="14083" width="0" style="1" hidden="1" customWidth="1"/>
    <col min="14084" max="14084" width="0.28515625" style="1" customWidth="1"/>
    <col min="14085" max="14085" width="16.28515625" style="1" customWidth="1"/>
    <col min="14086" max="14086" width="15.28515625" style="1" customWidth="1"/>
    <col min="14087" max="14087" width="14.140625" style="1" customWidth="1"/>
    <col min="14088" max="14088" width="14.28515625" style="1" customWidth="1"/>
    <col min="14089" max="14089" width="11.7109375" style="1" customWidth="1"/>
    <col min="14090" max="14090" width="15.28515625" style="1" customWidth="1"/>
    <col min="14091" max="14091" width="14.5703125" style="1" customWidth="1"/>
    <col min="14092" max="14092" width="15" style="1" customWidth="1"/>
    <col min="14093" max="14093" width="14.5703125" style="1" customWidth="1"/>
    <col min="14094" max="14094" width="14.28515625" style="1" customWidth="1"/>
    <col min="14095" max="14095" width="10.5703125" style="1" customWidth="1"/>
    <col min="14096" max="14336" width="21.5703125" style="1"/>
    <col min="14337" max="14339" width="0" style="1" hidden="1" customWidth="1"/>
    <col min="14340" max="14340" width="0.28515625" style="1" customWidth="1"/>
    <col min="14341" max="14341" width="16.28515625" style="1" customWidth="1"/>
    <col min="14342" max="14342" width="15.28515625" style="1" customWidth="1"/>
    <col min="14343" max="14343" width="14.140625" style="1" customWidth="1"/>
    <col min="14344" max="14344" width="14.28515625" style="1" customWidth="1"/>
    <col min="14345" max="14345" width="11.7109375" style="1" customWidth="1"/>
    <col min="14346" max="14346" width="15.28515625" style="1" customWidth="1"/>
    <col min="14347" max="14347" width="14.5703125" style="1" customWidth="1"/>
    <col min="14348" max="14348" width="15" style="1" customWidth="1"/>
    <col min="14349" max="14349" width="14.5703125" style="1" customWidth="1"/>
    <col min="14350" max="14350" width="14.28515625" style="1" customWidth="1"/>
    <col min="14351" max="14351" width="10.5703125" style="1" customWidth="1"/>
    <col min="14352" max="14592" width="21.5703125" style="1"/>
    <col min="14593" max="14595" width="0" style="1" hidden="1" customWidth="1"/>
    <col min="14596" max="14596" width="0.28515625" style="1" customWidth="1"/>
    <col min="14597" max="14597" width="16.28515625" style="1" customWidth="1"/>
    <col min="14598" max="14598" width="15.28515625" style="1" customWidth="1"/>
    <col min="14599" max="14599" width="14.140625" style="1" customWidth="1"/>
    <col min="14600" max="14600" width="14.28515625" style="1" customWidth="1"/>
    <col min="14601" max="14601" width="11.7109375" style="1" customWidth="1"/>
    <col min="14602" max="14602" width="15.28515625" style="1" customWidth="1"/>
    <col min="14603" max="14603" width="14.5703125" style="1" customWidth="1"/>
    <col min="14604" max="14604" width="15" style="1" customWidth="1"/>
    <col min="14605" max="14605" width="14.5703125" style="1" customWidth="1"/>
    <col min="14606" max="14606" width="14.28515625" style="1" customWidth="1"/>
    <col min="14607" max="14607" width="10.5703125" style="1" customWidth="1"/>
    <col min="14608" max="14848" width="21.5703125" style="1"/>
    <col min="14849" max="14851" width="0" style="1" hidden="1" customWidth="1"/>
    <col min="14852" max="14852" width="0.28515625" style="1" customWidth="1"/>
    <col min="14853" max="14853" width="16.28515625" style="1" customWidth="1"/>
    <col min="14854" max="14854" width="15.28515625" style="1" customWidth="1"/>
    <col min="14855" max="14855" width="14.140625" style="1" customWidth="1"/>
    <col min="14856" max="14856" width="14.28515625" style="1" customWidth="1"/>
    <col min="14857" max="14857" width="11.7109375" style="1" customWidth="1"/>
    <col min="14858" max="14858" width="15.28515625" style="1" customWidth="1"/>
    <col min="14859" max="14859" width="14.5703125" style="1" customWidth="1"/>
    <col min="14860" max="14860" width="15" style="1" customWidth="1"/>
    <col min="14861" max="14861" width="14.5703125" style="1" customWidth="1"/>
    <col min="14862" max="14862" width="14.28515625" style="1" customWidth="1"/>
    <col min="14863" max="14863" width="10.5703125" style="1" customWidth="1"/>
    <col min="14864" max="15104" width="21.5703125" style="1"/>
    <col min="15105" max="15107" width="0" style="1" hidden="1" customWidth="1"/>
    <col min="15108" max="15108" width="0.28515625" style="1" customWidth="1"/>
    <col min="15109" max="15109" width="16.28515625" style="1" customWidth="1"/>
    <col min="15110" max="15110" width="15.28515625" style="1" customWidth="1"/>
    <col min="15111" max="15111" width="14.140625" style="1" customWidth="1"/>
    <col min="15112" max="15112" width="14.28515625" style="1" customWidth="1"/>
    <col min="15113" max="15113" width="11.7109375" style="1" customWidth="1"/>
    <col min="15114" max="15114" width="15.28515625" style="1" customWidth="1"/>
    <col min="15115" max="15115" width="14.5703125" style="1" customWidth="1"/>
    <col min="15116" max="15116" width="15" style="1" customWidth="1"/>
    <col min="15117" max="15117" width="14.5703125" style="1" customWidth="1"/>
    <col min="15118" max="15118" width="14.28515625" style="1" customWidth="1"/>
    <col min="15119" max="15119" width="10.5703125" style="1" customWidth="1"/>
    <col min="15120" max="15360" width="21.5703125" style="1"/>
    <col min="15361" max="15363" width="0" style="1" hidden="1" customWidth="1"/>
    <col min="15364" max="15364" width="0.28515625" style="1" customWidth="1"/>
    <col min="15365" max="15365" width="16.28515625" style="1" customWidth="1"/>
    <col min="15366" max="15366" width="15.28515625" style="1" customWidth="1"/>
    <col min="15367" max="15367" width="14.140625" style="1" customWidth="1"/>
    <col min="15368" max="15368" width="14.28515625" style="1" customWidth="1"/>
    <col min="15369" max="15369" width="11.7109375" style="1" customWidth="1"/>
    <col min="15370" max="15370" width="15.28515625" style="1" customWidth="1"/>
    <col min="15371" max="15371" width="14.5703125" style="1" customWidth="1"/>
    <col min="15372" max="15372" width="15" style="1" customWidth="1"/>
    <col min="15373" max="15373" width="14.5703125" style="1" customWidth="1"/>
    <col min="15374" max="15374" width="14.28515625" style="1" customWidth="1"/>
    <col min="15375" max="15375" width="10.5703125" style="1" customWidth="1"/>
    <col min="15376" max="15616" width="21.5703125" style="1"/>
    <col min="15617" max="15619" width="0" style="1" hidden="1" customWidth="1"/>
    <col min="15620" max="15620" width="0.28515625" style="1" customWidth="1"/>
    <col min="15621" max="15621" width="16.28515625" style="1" customWidth="1"/>
    <col min="15622" max="15622" width="15.28515625" style="1" customWidth="1"/>
    <col min="15623" max="15623" width="14.140625" style="1" customWidth="1"/>
    <col min="15624" max="15624" width="14.28515625" style="1" customWidth="1"/>
    <col min="15625" max="15625" width="11.7109375" style="1" customWidth="1"/>
    <col min="15626" max="15626" width="15.28515625" style="1" customWidth="1"/>
    <col min="15627" max="15627" width="14.5703125" style="1" customWidth="1"/>
    <col min="15628" max="15628" width="15" style="1" customWidth="1"/>
    <col min="15629" max="15629" width="14.5703125" style="1" customWidth="1"/>
    <col min="15630" max="15630" width="14.28515625" style="1" customWidth="1"/>
    <col min="15631" max="15631" width="10.5703125" style="1" customWidth="1"/>
    <col min="15632" max="15872" width="21.5703125" style="1"/>
    <col min="15873" max="15875" width="0" style="1" hidden="1" customWidth="1"/>
    <col min="15876" max="15876" width="0.28515625" style="1" customWidth="1"/>
    <col min="15877" max="15877" width="16.28515625" style="1" customWidth="1"/>
    <col min="15878" max="15878" width="15.28515625" style="1" customWidth="1"/>
    <col min="15879" max="15879" width="14.140625" style="1" customWidth="1"/>
    <col min="15880" max="15880" width="14.28515625" style="1" customWidth="1"/>
    <col min="15881" max="15881" width="11.7109375" style="1" customWidth="1"/>
    <col min="15882" max="15882" width="15.28515625" style="1" customWidth="1"/>
    <col min="15883" max="15883" width="14.5703125" style="1" customWidth="1"/>
    <col min="15884" max="15884" width="15" style="1" customWidth="1"/>
    <col min="15885" max="15885" width="14.5703125" style="1" customWidth="1"/>
    <col min="15886" max="15886" width="14.28515625" style="1" customWidth="1"/>
    <col min="15887" max="15887" width="10.5703125" style="1" customWidth="1"/>
    <col min="15888" max="16128" width="21.5703125" style="1"/>
    <col min="16129" max="16131" width="0" style="1" hidden="1" customWidth="1"/>
    <col min="16132" max="16132" width="0.28515625" style="1" customWidth="1"/>
    <col min="16133" max="16133" width="16.28515625" style="1" customWidth="1"/>
    <col min="16134" max="16134" width="15.28515625" style="1" customWidth="1"/>
    <col min="16135" max="16135" width="14.140625" style="1" customWidth="1"/>
    <col min="16136" max="16136" width="14.28515625" style="1" customWidth="1"/>
    <col min="16137" max="16137" width="11.7109375" style="1" customWidth="1"/>
    <col min="16138" max="16138" width="15.28515625" style="1" customWidth="1"/>
    <col min="16139" max="16139" width="14.5703125" style="1" customWidth="1"/>
    <col min="16140" max="16140" width="15" style="1" customWidth="1"/>
    <col min="16141" max="16141" width="14.5703125" style="1" customWidth="1"/>
    <col min="16142" max="16142" width="14.28515625" style="1" customWidth="1"/>
    <col min="16143" max="16143" width="10.5703125" style="1" customWidth="1"/>
    <col min="16144" max="16384" width="21.5703125" style="1"/>
  </cols>
  <sheetData>
    <row r="1" spans="2:15" ht="15.75" x14ac:dyDescent="0.25">
      <c r="E1" s="2" t="s">
        <v>0</v>
      </c>
      <c r="F1" s="3"/>
      <c r="G1" s="3"/>
      <c r="H1" s="2"/>
      <c r="I1" s="3"/>
      <c r="J1" s="2"/>
      <c r="K1" s="2"/>
      <c r="L1" s="2"/>
      <c r="M1" s="2"/>
      <c r="N1" s="2"/>
      <c r="O1" s="72"/>
    </row>
    <row r="2" spans="2:15" ht="15.75" x14ac:dyDescent="0.25">
      <c r="F2" s="5"/>
      <c r="G2" s="2"/>
      <c r="H2" s="2"/>
      <c r="I2" s="2"/>
      <c r="J2" s="2" t="s">
        <v>1</v>
      </c>
      <c r="K2" s="2"/>
      <c r="L2" s="2"/>
      <c r="M2" s="2"/>
      <c r="N2" s="2"/>
    </row>
    <row r="3" spans="2:15" ht="15.75" x14ac:dyDescent="0.25">
      <c r="E3" s="6" t="s">
        <v>44</v>
      </c>
      <c r="F3" s="3"/>
      <c r="G3" s="3"/>
      <c r="H3" s="7"/>
      <c r="I3" s="3"/>
      <c r="J3" s="7"/>
      <c r="K3" s="7"/>
      <c r="L3" s="7"/>
      <c r="M3" s="7"/>
      <c r="N3" s="7"/>
    </row>
    <row r="4" spans="2:15" ht="16.5" thickBot="1" x14ac:dyDescent="0.3">
      <c r="F4" s="5"/>
      <c r="G4" s="9"/>
      <c r="H4" s="9"/>
      <c r="I4" s="9"/>
      <c r="J4" s="9"/>
      <c r="K4" s="9"/>
      <c r="L4" s="9"/>
      <c r="M4" s="9"/>
      <c r="N4" s="9"/>
    </row>
    <row r="5" spans="2:15" ht="16.5" thickTop="1" x14ac:dyDescent="0.25">
      <c r="E5" s="11" t="s">
        <v>2</v>
      </c>
      <c r="F5" s="12" t="s">
        <v>3</v>
      </c>
      <c r="G5" s="62" t="s">
        <v>43</v>
      </c>
      <c r="H5" s="62" t="s">
        <v>40</v>
      </c>
      <c r="I5" s="12" t="s">
        <v>6</v>
      </c>
      <c r="J5" s="12" t="s">
        <v>7</v>
      </c>
      <c r="K5" s="12" t="s">
        <v>8</v>
      </c>
      <c r="L5" s="12" t="s">
        <v>9</v>
      </c>
      <c r="M5" s="12" t="s">
        <v>10</v>
      </c>
      <c r="N5" s="63" t="s">
        <v>11</v>
      </c>
      <c r="O5" s="37"/>
    </row>
    <row r="6" spans="2:15" ht="15.75" x14ac:dyDescent="0.25">
      <c r="E6" s="15"/>
      <c r="F6" s="16"/>
      <c r="G6" s="17"/>
      <c r="H6" s="17"/>
      <c r="I6" s="17"/>
      <c r="J6" s="17"/>
      <c r="K6" s="17"/>
      <c r="L6" s="17"/>
      <c r="M6" s="17"/>
      <c r="N6" s="64"/>
      <c r="O6" s="37"/>
    </row>
    <row r="7" spans="2:15" ht="15.75" x14ac:dyDescent="0.25">
      <c r="E7" s="20" t="s">
        <v>13</v>
      </c>
      <c r="F7" s="16">
        <f>G7+H7+I7+J7+K7+L7+M7+N7</f>
        <v>141759073</v>
      </c>
      <c r="G7" s="17">
        <f>542418+573130+644796+530056+619340+614967+630271+610097+589607+559737+543027+487597</f>
        <v>6945043</v>
      </c>
      <c r="H7" s="17">
        <f>962954+1038365+1201079+1058132+1254957+1280269+1316145+1400799+1274513+1236398+1211320+1128913</f>
        <v>14363844</v>
      </c>
      <c r="I7" s="17">
        <f>800+1999+6892+1199+2192+1395+9041+3769+1588+2186+199+2000</f>
        <v>33260</v>
      </c>
      <c r="J7" s="17">
        <f>2685727+966476+3786975+4493067+3567721+4907009+5023615+4433878+4505308+4366017+4489698+4165855+3697374</f>
        <v>51088720</v>
      </c>
      <c r="K7" s="17">
        <f>68162+112764+63877+121763+86719+98365+92393+97142+83298+138030+126358+90774</f>
        <v>1179645</v>
      </c>
      <c r="L7" s="17">
        <f>1466556+1326186+1142183+955254+1211437+1214009+1081494+1533151+1301161+1238145+1165627+858673</f>
        <v>14493876</v>
      </c>
      <c r="M7" s="17">
        <f>2330780+2910201+2827977+3766007+2999723+3313620+3818170+3901467+3718570+2974733+4131258+3377032</f>
        <v>40069538</v>
      </c>
      <c r="N7" s="64">
        <f>1090368+934320+1164642+1062773+1964086+1018419+1026132+1130689+991514+1025300+1132526+1044378</f>
        <v>13585147</v>
      </c>
      <c r="O7" s="37"/>
    </row>
    <row r="8" spans="2:15" ht="15.75" x14ac:dyDescent="0.25">
      <c r="E8" s="20"/>
      <c r="F8" s="16"/>
      <c r="G8" s="17"/>
      <c r="H8" s="17"/>
      <c r="I8" s="17"/>
      <c r="J8" s="17"/>
      <c r="K8" s="17"/>
      <c r="L8" s="17"/>
      <c r="M8" s="17"/>
      <c r="N8" s="64"/>
      <c r="O8" s="37"/>
    </row>
    <row r="9" spans="2:15" ht="15.75" x14ac:dyDescent="0.25">
      <c r="E9" s="20" t="s">
        <v>14</v>
      </c>
      <c r="F9" s="16">
        <f>G9+H9+I9+J9+K9+L9+M9+N9</f>
        <v>7497805</v>
      </c>
      <c r="G9" s="17">
        <f>66626+99584+29958+69851+400+65761+400</f>
        <v>332580</v>
      </c>
      <c r="H9" s="17">
        <f>44222+82274+82808+159400+66618+78886+136687+207118+124651</f>
        <v>982664</v>
      </c>
      <c r="I9" s="17">
        <f>797+695</f>
        <v>1492</v>
      </c>
      <c r="J9" s="17">
        <f>141853+138541+131540+137565+153979+153239+201478+185931+175372+174267+169033+112947</f>
        <v>1875745</v>
      </c>
      <c r="K9" s="17">
        <f>354839+309474+343796+329489+343814+352712+397767+447409+313034+407093+362545+343352</f>
        <v>4305324</v>
      </c>
      <c r="L9" s="17"/>
      <c r="M9" s="17"/>
      <c r="N9" s="64"/>
      <c r="O9" s="37"/>
    </row>
    <row r="10" spans="2:15" ht="15.75" x14ac:dyDescent="0.25">
      <c r="E10" s="20"/>
      <c r="F10" s="16"/>
      <c r="G10" s="17"/>
      <c r="H10" s="17"/>
      <c r="I10" s="17"/>
      <c r="J10" s="17"/>
      <c r="K10" s="17"/>
      <c r="L10" s="17"/>
      <c r="M10" s="17"/>
      <c r="N10" s="64"/>
      <c r="O10" s="37"/>
    </row>
    <row r="11" spans="2:15" ht="15.75" x14ac:dyDescent="0.25">
      <c r="B11" s="21"/>
      <c r="C11" s="21"/>
      <c r="D11" s="21"/>
      <c r="E11" s="20" t="s">
        <v>15</v>
      </c>
      <c r="F11" s="16">
        <f>G11+H11+I11+J11+K11+L11+M11+N11</f>
        <v>62538858</v>
      </c>
      <c r="G11" s="17">
        <f>164465+140327+251325+334961+190951+396673+267972+343461+254456+243606+299991+223662+197054</f>
        <v>3308904</v>
      </c>
      <c r="H11" s="17">
        <f>319666+203351+534583+693581+323166+731020+723031+692911+712437+598383+725038+602833+649892</f>
        <v>7509892</v>
      </c>
      <c r="I11" s="17"/>
      <c r="J11" s="17">
        <f>1005613+1099556+1329142+1057683+1662094+1537285+1355207+1396211+1522509+1627606+1428079+1056560</f>
        <v>16077545</v>
      </c>
      <c r="K11" s="17"/>
      <c r="L11" s="17">
        <f>251018-297560+1355672+234002+336621+625029+577621+124139-162574+526615+318701-40212</f>
        <v>3849072</v>
      </c>
      <c r="M11" s="17">
        <f>1997363+1967791+2070388+1803367+2166585+2139566+2158777+2400134+2109176+2285247+2321556+2038235</f>
        <v>25458185</v>
      </c>
      <c r="N11" s="64">
        <f>504416+507003+397111+500824+1075127+455240+490506+446846+504962+489721+435348+528156</f>
        <v>6335260</v>
      </c>
      <c r="O11" s="37"/>
    </row>
    <row r="12" spans="2:15" ht="15.75" x14ac:dyDescent="0.25">
      <c r="E12" s="20" t="s">
        <v>16</v>
      </c>
      <c r="F12" s="16">
        <f>G12+H12+I12+J12+K12+L12+M12+N12</f>
        <v>9929073</v>
      </c>
      <c r="G12" s="17"/>
      <c r="H12" s="17"/>
      <c r="I12" s="17">
        <f>2000+2000+3003</f>
        <v>7003</v>
      </c>
      <c r="J12" s="17">
        <f>612174+715090+791987+657405+688323+589943+727531+759673+537005+601634+563437+708141</f>
        <v>7952343</v>
      </c>
      <c r="K12" s="17">
        <f>114408+177167+158298+95337+190649+209500+113661+112053+498249+139988+80135+80282</f>
        <v>1969727</v>
      </c>
      <c r="L12" s="17"/>
      <c r="M12" s="17"/>
      <c r="N12" s="64"/>
      <c r="O12" s="37"/>
    </row>
    <row r="13" spans="2:15" ht="15.75" x14ac:dyDescent="0.25">
      <c r="E13" s="20"/>
      <c r="F13" s="16"/>
      <c r="G13" s="17"/>
      <c r="H13" s="17"/>
      <c r="I13" s="17"/>
      <c r="J13" s="17"/>
      <c r="K13" s="17"/>
      <c r="L13" s="17"/>
      <c r="M13" s="17"/>
      <c r="N13" s="64"/>
      <c r="O13" s="37"/>
    </row>
    <row r="14" spans="2:15" ht="15.75" x14ac:dyDescent="0.25">
      <c r="E14" s="20" t="s">
        <v>17</v>
      </c>
      <c r="F14" s="16">
        <f>G14+H14+I14+J14+K14+L14+M14+N14</f>
        <v>4365888</v>
      </c>
      <c r="G14" s="17">
        <f>19727+34327+15456+50928+19019+40613+38946+8877+18815+10418</f>
        <v>257126</v>
      </c>
      <c r="H14" s="17">
        <f>28754+48006+21845+38613+37874+23162+28987+60350+59095+38315+19636+44664</f>
        <v>449301</v>
      </c>
      <c r="I14" s="17"/>
      <c r="J14" s="17">
        <f>84236+144013+128111+28312+142339+155315+174035+19072+202063+96706+122197+199567</f>
        <v>1495966</v>
      </c>
      <c r="K14" s="17">
        <f>165010+149935+189680+138956+171593+176225+161142+223571+212370+201830+195153+178030</f>
        <v>2163495</v>
      </c>
      <c r="L14" s="17"/>
      <c r="M14" s="17"/>
      <c r="N14" s="64"/>
      <c r="O14" s="37"/>
    </row>
    <row r="15" spans="2:15" ht="15.75" x14ac:dyDescent="0.25">
      <c r="E15" s="20"/>
      <c r="F15" s="16"/>
      <c r="G15" s="17"/>
      <c r="H15" s="17"/>
      <c r="I15" s="17"/>
      <c r="J15" s="17"/>
      <c r="K15" s="17"/>
      <c r="L15" s="17"/>
      <c r="M15" s="17"/>
      <c r="N15" s="64"/>
      <c r="O15" s="37"/>
    </row>
    <row r="16" spans="2:15" ht="15.75" x14ac:dyDescent="0.25">
      <c r="E16" s="20" t="s">
        <v>18</v>
      </c>
      <c r="F16" s="16">
        <f>G16+H16+I16+J16+K16+L16+M16+N16</f>
        <v>10480461</v>
      </c>
      <c r="G16" s="17">
        <f>35384+14859+43412+29929+36416+58841+36945+81150+61159+43253+32249+38764+29162</f>
        <v>541523</v>
      </c>
      <c r="H16" s="17">
        <f>34573+18409+51877+87272+32923+80883+64112+104015+84262+81899+79334+37010+59770</f>
        <v>816339</v>
      </c>
      <c r="I16" s="17"/>
      <c r="J16" s="17">
        <f>104118+183223+431614+380722+197964+420195+439201+549129+401060+516289+288563+369953+287498</f>
        <v>4569529</v>
      </c>
      <c r="K16" s="17">
        <f>344458+319676+364345+311565+363335+401501+409905+425675+423384+427509+385377+376340</f>
        <v>4553070</v>
      </c>
      <c r="L16" s="17"/>
      <c r="M16" s="17"/>
      <c r="N16" s="64"/>
      <c r="O16" s="37"/>
    </row>
    <row r="17" spans="5:15" ht="15.75" x14ac:dyDescent="0.25">
      <c r="E17" s="20"/>
      <c r="F17" s="16"/>
      <c r="G17" s="17"/>
      <c r="H17" s="17"/>
      <c r="I17" s="17"/>
      <c r="J17" s="17"/>
      <c r="K17" s="17"/>
      <c r="L17" s="17"/>
      <c r="M17" s="17"/>
      <c r="N17" s="64"/>
      <c r="O17" s="37"/>
    </row>
    <row r="18" spans="5:15" ht="15.75" x14ac:dyDescent="0.25">
      <c r="E18" s="20" t="s">
        <v>19</v>
      </c>
      <c r="F18" s="16">
        <f>G18+H18+I18+J18+K18+L18+M18+N18</f>
        <v>23321090</v>
      </c>
      <c r="G18" s="17">
        <f>74533+79609+82491+124973+84586+81095+73923+91069+72759+68616+64492+62933</f>
        <v>961079</v>
      </c>
      <c r="H18" s="17">
        <f>154291+148546+183913+110395+191889+202003+194234+228926+190830+184951+172749+167679</f>
        <v>2130406</v>
      </c>
      <c r="I18" s="17">
        <f>9986+10685</f>
        <v>20671</v>
      </c>
      <c r="J18" s="17">
        <f>492604+585770+661708+573059+929647+722744+691434+773775+660146+605400+496893+417785</f>
        <v>7610965</v>
      </c>
      <c r="K18" s="17">
        <f>54068+72089+71953+90037+53946+107566+89494+89449+143188+232889+197356+90054</f>
        <v>1292089</v>
      </c>
      <c r="L18" s="17">
        <f>-116059+234974+181418-316214+416707-212834+331018-389172+529046-1556-6068-152133</f>
        <v>499127</v>
      </c>
      <c r="M18" s="17">
        <f>688919+414993+653093+744042+432327+709108+701112+713462+412064+742859+667137+540822</f>
        <v>7419938</v>
      </c>
      <c r="N18" s="64">
        <f>179755+346087+240396+256689+505863+285775+265374+235845+298356+269434+302124+201117</f>
        <v>3386815</v>
      </c>
      <c r="O18" s="37"/>
    </row>
    <row r="19" spans="5:15" ht="15.75" x14ac:dyDescent="0.25">
      <c r="E19" s="20"/>
      <c r="F19" s="16"/>
      <c r="G19" s="17"/>
      <c r="H19" s="17"/>
      <c r="I19" s="17"/>
      <c r="J19" s="17"/>
      <c r="K19" s="17"/>
      <c r="L19" s="17"/>
      <c r="M19" s="17"/>
      <c r="N19" s="64"/>
      <c r="O19" s="37"/>
    </row>
    <row r="20" spans="5:15" ht="15.75" x14ac:dyDescent="0.25">
      <c r="E20" s="20" t="s">
        <v>20</v>
      </c>
      <c r="F20" s="16">
        <f>G20+H20+I20+J20+K20+L20+M20+N20</f>
        <v>17356975</v>
      </c>
      <c r="G20" s="17">
        <f>68907+39878+69547+29136+93791+37526+30105+72479+118666+40205+42121</f>
        <v>642361</v>
      </c>
      <c r="H20" s="17">
        <f>99417+69634+164003+62046+211769+118362+117367+124576+310093+81318+108430+68922</f>
        <v>1535937</v>
      </c>
      <c r="I20" s="17"/>
      <c r="J20" s="17">
        <f>488647+277506+810851+463205+913122+1327944+463342+1165640+895070+590758+452792+427775</f>
        <v>8276652</v>
      </c>
      <c r="K20" s="17">
        <f>19979+19941+29966+9945+35752+29766+19847+24836+29870+9971</f>
        <v>229873</v>
      </c>
      <c r="L20" s="17">
        <f>23690+97035-85088+187829-261830+338119-142618+54257+300969-266405+65433+229161</f>
        <v>540552</v>
      </c>
      <c r="M20" s="17">
        <f>457695+503381+518793+387934+521534+514488+470711+608702+561744+554742+484874+547002</f>
        <v>6131600</v>
      </c>
      <c r="N20" s="64"/>
      <c r="O20" s="37"/>
    </row>
    <row r="21" spans="5:15" ht="15.75" x14ac:dyDescent="0.25">
      <c r="E21" s="20"/>
      <c r="F21" s="16"/>
      <c r="G21" s="17"/>
      <c r="H21" s="17"/>
      <c r="I21" s="17"/>
      <c r="J21" s="17"/>
      <c r="K21" s="17"/>
      <c r="L21" s="17"/>
      <c r="M21" s="17"/>
      <c r="N21" s="64"/>
      <c r="O21" s="37"/>
    </row>
    <row r="22" spans="5:15" ht="15.75" x14ac:dyDescent="0.25">
      <c r="E22" s="20" t="s">
        <v>21</v>
      </c>
      <c r="F22" s="16">
        <f>G22+H22+I22+J22+K22+L22+M22+N22</f>
        <v>3767490</v>
      </c>
      <c r="G22" s="17">
        <f>18112+20019+12000+8000+23972+12957+21434+18746+9921+19934+12165+8042</f>
        <v>185302</v>
      </c>
      <c r="H22" s="17">
        <f>27416+25011+36928+22062+33618+40529+47735+50842+34280+36806+38870+30164</f>
        <v>424261</v>
      </c>
      <c r="I22" s="17"/>
      <c r="J22" s="17">
        <f>148212+147549+160855+88808+149307+131232+149659+132029+122300+137909+153499+94190</f>
        <v>1615549</v>
      </c>
      <c r="K22" s="17">
        <f>72034+83935+119667+84016+143595+95585+143309+166932+154894+155151+167265+155995</f>
        <v>1542378</v>
      </c>
      <c r="L22" s="17"/>
      <c r="M22" s="17"/>
      <c r="N22" s="64"/>
      <c r="O22" s="37"/>
    </row>
    <row r="23" spans="5:15" ht="15.75" x14ac:dyDescent="0.25">
      <c r="E23" s="20"/>
      <c r="F23" s="16"/>
      <c r="G23" s="17"/>
      <c r="H23" s="17"/>
      <c r="I23" s="17"/>
      <c r="J23" s="17"/>
      <c r="K23" s="17"/>
      <c r="L23" s="17"/>
      <c r="M23" s="17"/>
      <c r="N23" s="64"/>
      <c r="O23" s="37"/>
    </row>
    <row r="24" spans="5:15" ht="15.75" x14ac:dyDescent="0.25">
      <c r="E24" s="20" t="s">
        <v>22</v>
      </c>
      <c r="F24" s="16">
        <f>G24+H24+I24+J24+K24+L24+M24+N24</f>
        <v>434607</v>
      </c>
      <c r="G24" s="17">
        <f>2009+1995+2005+3991+3991+1995+7939+1983+2001+2002</f>
        <v>29911</v>
      </c>
      <c r="H24" s="17"/>
      <c r="I24" s="17"/>
      <c r="J24" s="17">
        <f>8007+10010+11970+4000+5992+13945+7959+19885+11908+13926+3983+10006</f>
        <v>121591</v>
      </c>
      <c r="K24" s="17">
        <f>32027+41983+4000+51876+31891+11921+29828+13871+33826+23877+8005</f>
        <v>283105</v>
      </c>
      <c r="L24" s="17"/>
      <c r="M24" s="17"/>
      <c r="N24" s="64"/>
      <c r="O24" s="37"/>
    </row>
    <row r="25" spans="5:15" ht="15.75" x14ac:dyDescent="0.25">
      <c r="E25" s="20"/>
      <c r="F25" s="16"/>
      <c r="G25" s="17"/>
      <c r="H25" s="17"/>
      <c r="I25" s="17"/>
      <c r="J25" s="17"/>
      <c r="K25" s="17"/>
      <c r="L25" s="17"/>
      <c r="M25" s="17"/>
      <c r="N25" s="64"/>
      <c r="O25" s="37"/>
    </row>
    <row r="26" spans="5:15" ht="15.75" x14ac:dyDescent="0.25">
      <c r="E26" s="65" t="s">
        <v>3</v>
      </c>
      <c r="F26" s="16">
        <f>F7+F9+F11+F12+F14+F16+F18+F20+F22+F24</f>
        <v>281451320</v>
      </c>
      <c r="G26" s="16">
        <f t="shared" ref="G26:N26" si="0">G7+G9+G11+G12+G14+G16+G18+G20+G22+G24</f>
        <v>13203829</v>
      </c>
      <c r="H26" s="16">
        <f t="shared" si="0"/>
        <v>28212644</v>
      </c>
      <c r="I26" s="16">
        <f t="shared" si="0"/>
        <v>62426</v>
      </c>
      <c r="J26" s="16">
        <f t="shared" si="0"/>
        <v>100684605</v>
      </c>
      <c r="K26" s="16">
        <f t="shared" si="0"/>
        <v>17518706</v>
      </c>
      <c r="L26" s="16">
        <f t="shared" si="0"/>
        <v>19382627</v>
      </c>
      <c r="M26" s="16">
        <f t="shared" si="0"/>
        <v>79079261</v>
      </c>
      <c r="N26" s="66">
        <f t="shared" si="0"/>
        <v>23307222</v>
      </c>
      <c r="O26" s="37"/>
    </row>
    <row r="27" spans="5:15" ht="16.5" thickBot="1" x14ac:dyDescent="0.3">
      <c r="E27" s="25"/>
      <c r="F27" s="26"/>
      <c r="G27" s="27"/>
      <c r="H27" s="27"/>
      <c r="I27" s="27"/>
      <c r="J27" s="27"/>
      <c r="K27" s="27"/>
      <c r="L27" s="27"/>
      <c r="M27" s="27"/>
      <c r="N27" s="67"/>
      <c r="O27" s="37"/>
    </row>
    <row r="28" spans="5:15" ht="16.5" thickTop="1" x14ac:dyDescent="0.25">
      <c r="F28" s="30"/>
      <c r="G28" s="31"/>
      <c r="H28" s="31"/>
      <c r="I28" s="31"/>
      <c r="J28" s="31"/>
      <c r="K28" s="31"/>
      <c r="L28" s="31"/>
      <c r="M28" s="31"/>
      <c r="N28" s="31"/>
      <c r="O28" s="37"/>
    </row>
    <row r="29" spans="5:15" ht="15.75" x14ac:dyDescent="0.25">
      <c r="E29" s="33" t="s">
        <v>23</v>
      </c>
      <c r="F29" s="34"/>
      <c r="G29" s="35"/>
      <c r="H29" s="35"/>
      <c r="I29" s="35"/>
      <c r="J29" s="35"/>
      <c r="K29" s="35"/>
      <c r="L29" s="35"/>
      <c r="M29" s="35"/>
      <c r="N29" s="35"/>
    </row>
    <row r="30" spans="5:15" ht="15.75" x14ac:dyDescent="0.25">
      <c r="F30" s="34"/>
      <c r="G30" s="35"/>
      <c r="H30" s="35"/>
      <c r="I30" s="35"/>
      <c r="J30" s="35"/>
      <c r="K30" s="35"/>
      <c r="L30" s="35"/>
      <c r="M30" s="35"/>
      <c r="N30" s="35"/>
    </row>
    <row r="31" spans="5:15" ht="15.75" x14ac:dyDescent="0.25">
      <c r="F31" s="34"/>
      <c r="G31" s="35"/>
      <c r="H31" s="35"/>
      <c r="I31" s="35"/>
      <c r="J31" s="35"/>
      <c r="K31" s="35"/>
      <c r="L31" s="35"/>
      <c r="M31" s="35"/>
      <c r="N31" s="35"/>
    </row>
    <row r="32" spans="5:15" ht="15.75" x14ac:dyDescent="0.25">
      <c r="E32" s="2" t="s">
        <v>0</v>
      </c>
      <c r="F32" s="3"/>
      <c r="G32" s="3"/>
      <c r="H32" s="7"/>
      <c r="I32" s="3"/>
      <c r="J32" s="7"/>
      <c r="K32" s="7"/>
      <c r="L32" s="7"/>
      <c r="M32" s="7"/>
      <c r="N32" s="7"/>
    </row>
    <row r="33" spans="5:15" ht="15.75" x14ac:dyDescent="0.25">
      <c r="F33" s="36"/>
      <c r="G33" s="37"/>
      <c r="H33" s="38"/>
      <c r="I33" s="38"/>
      <c r="J33" s="39" t="s">
        <v>1</v>
      </c>
      <c r="K33" s="38"/>
      <c r="L33" s="38"/>
      <c r="M33" s="38"/>
      <c r="N33" s="38"/>
    </row>
    <row r="34" spans="5:15" ht="15.75" x14ac:dyDescent="0.25">
      <c r="E34" s="6" t="s">
        <v>44</v>
      </c>
      <c r="F34" s="3"/>
      <c r="G34" s="3"/>
      <c r="H34" s="7"/>
      <c r="I34" s="3"/>
      <c r="J34" s="7"/>
      <c r="K34" s="7"/>
      <c r="L34" s="7"/>
      <c r="M34" s="7"/>
      <c r="N34" s="7"/>
    </row>
    <row r="35" spans="5:15" ht="16.5" thickBot="1" x14ac:dyDescent="0.3">
      <c r="F35" s="36"/>
      <c r="G35" s="38"/>
      <c r="H35" s="38"/>
      <c r="I35" s="38"/>
      <c r="J35" s="38"/>
      <c r="K35" s="38"/>
      <c r="L35" s="38"/>
      <c r="M35" s="38"/>
      <c r="N35" s="38"/>
    </row>
    <row r="36" spans="5:15" ht="15.95" customHeight="1" thickTop="1" x14ac:dyDescent="0.25">
      <c r="E36" s="41" t="s">
        <v>24</v>
      </c>
      <c r="F36" s="42" t="s">
        <v>3</v>
      </c>
      <c r="G36" s="62" t="s">
        <v>43</v>
      </c>
      <c r="H36" s="62" t="s">
        <v>40</v>
      </c>
      <c r="I36" s="43" t="s">
        <v>6</v>
      </c>
      <c r="J36" s="43" t="s">
        <v>7</v>
      </c>
      <c r="K36" s="43" t="s">
        <v>8</v>
      </c>
      <c r="L36" s="43" t="s">
        <v>25</v>
      </c>
      <c r="M36" s="44" t="s">
        <v>10</v>
      </c>
      <c r="N36" s="63" t="s">
        <v>11</v>
      </c>
      <c r="O36" s="37"/>
    </row>
    <row r="37" spans="5:15" ht="15.95" customHeight="1" x14ac:dyDescent="0.25">
      <c r="E37" s="45"/>
      <c r="F37" s="46"/>
      <c r="G37" s="47"/>
      <c r="H37" s="47"/>
      <c r="I37" s="47"/>
      <c r="J37" s="47"/>
      <c r="K37" s="47"/>
      <c r="L37" s="47"/>
      <c r="M37" s="48"/>
      <c r="N37" s="68"/>
      <c r="O37" s="37"/>
    </row>
    <row r="38" spans="5:15" ht="15.95" customHeight="1" x14ac:dyDescent="0.25">
      <c r="E38" s="45" t="s">
        <v>26</v>
      </c>
      <c r="F38" s="49">
        <f>SUM(G38:N38)</f>
        <v>20041608</v>
      </c>
      <c r="G38" s="50">
        <v>1145358</v>
      </c>
      <c r="H38" s="50">
        <v>1893053</v>
      </c>
      <c r="I38" s="50">
        <v>2800</v>
      </c>
      <c r="J38" s="50">
        <v>6920890</v>
      </c>
      <c r="K38" s="50">
        <v>1205006</v>
      </c>
      <c r="L38" s="50">
        <v>1625205</v>
      </c>
      <c r="M38" s="51">
        <v>5474757</v>
      </c>
      <c r="N38" s="69">
        <v>1774539</v>
      </c>
      <c r="O38" s="37"/>
    </row>
    <row r="39" spans="5:15" ht="15.95" customHeight="1" x14ac:dyDescent="0.25">
      <c r="E39" s="45" t="s">
        <v>27</v>
      </c>
      <c r="F39" s="49">
        <f>SUM(G39:N39)</f>
        <v>20612041</v>
      </c>
      <c r="G39" s="50">
        <v>1043709</v>
      </c>
      <c r="H39" s="50">
        <v>1998296</v>
      </c>
      <c r="I39" s="50">
        <v>1999</v>
      </c>
      <c r="J39" s="50">
        <v>7336624</v>
      </c>
      <c r="K39" s="50">
        <v>1287002</v>
      </c>
      <c r="L39" s="50">
        <v>1360635</v>
      </c>
      <c r="M39" s="51">
        <v>5796366</v>
      </c>
      <c r="N39" s="69">
        <v>1787410</v>
      </c>
      <c r="O39" s="37"/>
    </row>
    <row r="40" spans="5:15" ht="15.95" customHeight="1" x14ac:dyDescent="0.25">
      <c r="E40" s="45" t="s">
        <v>28</v>
      </c>
      <c r="F40" s="49">
        <f>SUM(G40:N40)</f>
        <v>24479161</v>
      </c>
      <c r="G40" s="50">
        <v>1290759</v>
      </c>
      <c r="H40" s="50">
        <v>2471429</v>
      </c>
      <c r="I40" s="50">
        <v>18878</v>
      </c>
      <c r="J40" s="50">
        <v>8899953</v>
      </c>
      <c r="K40" s="50">
        <v>1331557</v>
      </c>
      <c r="L40" s="50">
        <v>2594185</v>
      </c>
      <c r="M40" s="51">
        <v>6070251</v>
      </c>
      <c r="N40" s="69">
        <v>1802149</v>
      </c>
      <c r="O40" s="37"/>
    </row>
    <row r="41" spans="5:15" ht="15.95" customHeight="1" x14ac:dyDescent="0.25">
      <c r="E41" s="45"/>
      <c r="F41" s="49">
        <f t="shared" ref="F41:L41" si="1">F38+F39+F40</f>
        <v>65132810</v>
      </c>
      <c r="G41" s="50">
        <f t="shared" si="1"/>
        <v>3479826</v>
      </c>
      <c r="H41" s="50">
        <f t="shared" si="1"/>
        <v>6362778</v>
      </c>
      <c r="I41" s="50">
        <f t="shared" si="1"/>
        <v>23677</v>
      </c>
      <c r="J41" s="50">
        <f t="shared" si="1"/>
        <v>23157467</v>
      </c>
      <c r="K41" s="50">
        <f t="shared" si="1"/>
        <v>3823565</v>
      </c>
      <c r="L41" s="50">
        <f t="shared" si="1"/>
        <v>5580025</v>
      </c>
      <c r="M41" s="51">
        <f>M38+M39+M40</f>
        <v>17341374</v>
      </c>
      <c r="N41" s="69">
        <f>N38+N39+N40</f>
        <v>5364098</v>
      </c>
      <c r="O41" s="37"/>
    </row>
    <row r="42" spans="5:15" ht="15.95" customHeight="1" x14ac:dyDescent="0.25">
      <c r="E42" s="45" t="s">
        <v>29</v>
      </c>
      <c r="F42" s="49">
        <f>SUM(G42:N42)</f>
        <v>20133431</v>
      </c>
      <c r="G42" s="50">
        <v>921537</v>
      </c>
      <c r="H42" s="50">
        <v>1647337</v>
      </c>
      <c r="I42" s="50">
        <v>1199</v>
      </c>
      <c r="J42" s="50">
        <v>6775722</v>
      </c>
      <c r="K42" s="50">
        <v>1205129</v>
      </c>
      <c r="L42" s="50">
        <v>1060871</v>
      </c>
      <c r="M42" s="51">
        <v>6701350</v>
      </c>
      <c r="N42" s="69">
        <v>1820286</v>
      </c>
      <c r="O42" s="37"/>
    </row>
    <row r="43" spans="5:15" ht="15.95" customHeight="1" x14ac:dyDescent="0.25">
      <c r="E43" s="45" t="s">
        <v>30</v>
      </c>
      <c r="F43" s="49">
        <f>SUM(G43:N43)</f>
        <v>26795126</v>
      </c>
      <c r="G43" s="50">
        <v>1332122</v>
      </c>
      <c r="H43" s="50">
        <v>2701410</v>
      </c>
      <c r="I43" s="50">
        <v>15880</v>
      </c>
      <c r="J43" s="50">
        <v>9972007</v>
      </c>
      <c r="K43" s="50">
        <v>1405527</v>
      </c>
      <c r="L43" s="50">
        <v>1702935</v>
      </c>
      <c r="M43" s="51">
        <v>6120169</v>
      </c>
      <c r="N43" s="69">
        <v>3545076</v>
      </c>
      <c r="O43" s="37"/>
    </row>
    <row r="44" spans="5:15" ht="15.95" customHeight="1" x14ac:dyDescent="0.25">
      <c r="E44" s="45" t="s">
        <v>31</v>
      </c>
      <c r="F44" s="49">
        <f>SUM(G44:N44)</f>
        <v>25573042</v>
      </c>
      <c r="G44" s="50">
        <v>1074472</v>
      </c>
      <c r="H44" s="50">
        <v>2518086</v>
      </c>
      <c r="I44" s="50">
        <v>2192</v>
      </c>
      <c r="J44" s="50">
        <v>10094463</v>
      </c>
      <c r="K44" s="50">
        <v>1483290</v>
      </c>
      <c r="L44" s="50">
        <v>1964323</v>
      </c>
      <c r="M44" s="51">
        <v>6676782</v>
      </c>
      <c r="N44" s="69">
        <v>1759434</v>
      </c>
      <c r="O44" s="37"/>
    </row>
    <row r="45" spans="5:15" ht="15.95" customHeight="1" x14ac:dyDescent="0.25">
      <c r="E45" s="45"/>
      <c r="F45" s="49">
        <f t="shared" ref="F45:L45" si="2">F42+F43+F44</f>
        <v>72501599</v>
      </c>
      <c r="G45" s="50">
        <f t="shared" si="2"/>
        <v>3328131</v>
      </c>
      <c r="H45" s="50">
        <f t="shared" si="2"/>
        <v>6866833</v>
      </c>
      <c r="I45" s="50">
        <f t="shared" si="2"/>
        <v>19271</v>
      </c>
      <c r="J45" s="50">
        <f t="shared" si="2"/>
        <v>26842192</v>
      </c>
      <c r="K45" s="50">
        <f t="shared" si="2"/>
        <v>4093946</v>
      </c>
      <c r="L45" s="50">
        <f t="shared" si="2"/>
        <v>4728129</v>
      </c>
      <c r="M45" s="51">
        <f>M42+M43+M44</f>
        <v>19498301</v>
      </c>
      <c r="N45" s="69">
        <f>N42+N43+N44</f>
        <v>7124796</v>
      </c>
      <c r="O45" s="37"/>
    </row>
    <row r="46" spans="5:15" ht="15.95" customHeight="1" x14ac:dyDescent="0.25">
      <c r="E46" s="45" t="s">
        <v>32</v>
      </c>
      <c r="F46" s="49">
        <f>SUM(G46:N46)</f>
        <v>24758953</v>
      </c>
      <c r="G46" s="50">
        <v>1182339</v>
      </c>
      <c r="H46" s="50">
        <v>2580280</v>
      </c>
      <c r="I46" s="50">
        <v>9041</v>
      </c>
      <c r="J46" s="50">
        <v>8753652</v>
      </c>
      <c r="K46" s="50">
        <v>1455344</v>
      </c>
      <c r="L46" s="50">
        <v>1847515</v>
      </c>
      <c r="M46" s="51">
        <v>7148770</v>
      </c>
      <c r="N46" s="69">
        <v>1782012</v>
      </c>
      <c r="O46" s="37"/>
    </row>
    <row r="47" spans="5:15" ht="15.95" customHeight="1" x14ac:dyDescent="0.25">
      <c r="E47" s="45" t="s">
        <v>33</v>
      </c>
      <c r="F47" s="49">
        <f>SUM(G47:N47)</f>
        <v>25729093</v>
      </c>
      <c r="G47" s="50">
        <v>1186516</v>
      </c>
      <c r="H47" s="50">
        <v>2798879</v>
      </c>
      <c r="I47" s="50">
        <v>3769</v>
      </c>
      <c r="J47" s="50">
        <v>9358584</v>
      </c>
      <c r="K47" s="50">
        <v>1621825</v>
      </c>
      <c r="L47" s="50">
        <v>1322375</v>
      </c>
      <c r="M47" s="51">
        <v>7623765</v>
      </c>
      <c r="N47" s="69">
        <v>1813380</v>
      </c>
      <c r="O47" s="37"/>
    </row>
    <row r="48" spans="5:15" ht="15.95" customHeight="1" x14ac:dyDescent="0.25">
      <c r="E48" s="45" t="s">
        <v>34</v>
      </c>
      <c r="F48" s="49">
        <f>SUM(G48:N48)</f>
        <v>25382888</v>
      </c>
      <c r="G48" s="50">
        <v>1188592</v>
      </c>
      <c r="H48" s="50">
        <v>2756211</v>
      </c>
      <c r="I48" s="50">
        <v>2283</v>
      </c>
      <c r="J48" s="50">
        <v>9008679</v>
      </c>
      <c r="K48" s="50">
        <v>1862135</v>
      </c>
      <c r="L48" s="50">
        <v>1968602</v>
      </c>
      <c r="M48" s="51">
        <v>6801554</v>
      </c>
      <c r="N48" s="69">
        <v>1794832</v>
      </c>
      <c r="O48" s="37"/>
    </row>
    <row r="49" spans="5:15" ht="15.95" customHeight="1" x14ac:dyDescent="0.25">
      <c r="E49" s="45"/>
      <c r="F49" s="49">
        <f t="shared" ref="F49:N49" si="3">F46+F47+F48</f>
        <v>75870934</v>
      </c>
      <c r="G49" s="50">
        <f t="shared" si="3"/>
        <v>3557447</v>
      </c>
      <c r="H49" s="50">
        <f t="shared" si="3"/>
        <v>8135370</v>
      </c>
      <c r="I49" s="50">
        <f t="shared" si="3"/>
        <v>15093</v>
      </c>
      <c r="J49" s="50">
        <f t="shared" si="3"/>
        <v>27120915</v>
      </c>
      <c r="K49" s="50">
        <f t="shared" si="3"/>
        <v>4939304</v>
      </c>
      <c r="L49" s="50">
        <f t="shared" si="3"/>
        <v>5138492</v>
      </c>
      <c r="M49" s="51">
        <f t="shared" si="3"/>
        <v>21574089</v>
      </c>
      <c r="N49" s="69">
        <f t="shared" si="3"/>
        <v>5390224</v>
      </c>
      <c r="O49" s="37"/>
    </row>
    <row r="50" spans="5:15" ht="15.95" customHeight="1" x14ac:dyDescent="0.25">
      <c r="E50" s="45" t="s">
        <v>35</v>
      </c>
      <c r="F50" s="49">
        <f>SUM(G50:N50)</f>
        <v>23602605</v>
      </c>
      <c r="G50" s="50">
        <v>991805</v>
      </c>
      <c r="H50" s="50">
        <v>2382160</v>
      </c>
      <c r="I50" s="50">
        <v>2186</v>
      </c>
      <c r="J50" s="50">
        <v>8626467</v>
      </c>
      <c r="K50" s="50">
        <v>1761152</v>
      </c>
      <c r="L50" s="50">
        <v>1496799</v>
      </c>
      <c r="M50" s="51">
        <v>6557581</v>
      </c>
      <c r="N50" s="69">
        <v>1784455</v>
      </c>
      <c r="O50" s="37"/>
    </row>
    <row r="51" spans="5:15" ht="15.95" customHeight="1" x14ac:dyDescent="0.25">
      <c r="E51" s="45" t="s">
        <v>36</v>
      </c>
      <c r="F51" s="49">
        <f>SUM(G51:N51)</f>
        <v>23834762</v>
      </c>
      <c r="G51" s="50">
        <v>1006891</v>
      </c>
      <c r="H51" s="50">
        <v>2315499</v>
      </c>
      <c r="I51" s="50">
        <v>199</v>
      </c>
      <c r="J51" s="50">
        <v>7925721</v>
      </c>
      <c r="K51" s="50">
        <v>1567936</v>
      </c>
      <c r="L51" s="50">
        <v>1543693</v>
      </c>
      <c r="M51" s="51">
        <v>7604825</v>
      </c>
      <c r="N51" s="69">
        <v>1869998</v>
      </c>
      <c r="O51" s="37"/>
    </row>
    <row r="52" spans="5:15" ht="15.95" customHeight="1" x14ac:dyDescent="0.25">
      <c r="E52" s="45" t="s">
        <v>37</v>
      </c>
      <c r="F52" s="49">
        <f>SUM(G52:N52)</f>
        <v>20508610</v>
      </c>
      <c r="G52" s="50">
        <v>839729</v>
      </c>
      <c r="H52" s="50">
        <v>2150004</v>
      </c>
      <c r="I52" s="50">
        <v>2000</v>
      </c>
      <c r="J52" s="50">
        <v>7011843</v>
      </c>
      <c r="K52" s="50">
        <v>1332803</v>
      </c>
      <c r="L52" s="50">
        <v>895489</v>
      </c>
      <c r="M52" s="51">
        <v>6503091</v>
      </c>
      <c r="N52" s="69">
        <v>1773651</v>
      </c>
      <c r="O52" s="37"/>
    </row>
    <row r="53" spans="5:15" ht="15.95" customHeight="1" x14ac:dyDescent="0.25">
      <c r="E53" s="45"/>
      <c r="F53" s="49">
        <f t="shared" ref="F53:N53" si="4">F50+F51+F52</f>
        <v>67945977</v>
      </c>
      <c r="G53" s="50">
        <f t="shared" si="4"/>
        <v>2838425</v>
      </c>
      <c r="H53" s="50">
        <f t="shared" si="4"/>
        <v>6847663</v>
      </c>
      <c r="I53" s="50">
        <f t="shared" si="4"/>
        <v>4385</v>
      </c>
      <c r="J53" s="50">
        <f t="shared" si="4"/>
        <v>23564031</v>
      </c>
      <c r="K53" s="50">
        <f t="shared" si="4"/>
        <v>4661891</v>
      </c>
      <c r="L53" s="50">
        <f t="shared" si="4"/>
        <v>3935981</v>
      </c>
      <c r="M53" s="51">
        <f t="shared" si="4"/>
        <v>20665497</v>
      </c>
      <c r="N53" s="69">
        <f t="shared" si="4"/>
        <v>5428104</v>
      </c>
      <c r="O53" s="37"/>
    </row>
    <row r="54" spans="5:15" ht="15.95" customHeight="1" x14ac:dyDescent="0.25">
      <c r="E54" s="70" t="s">
        <v>38</v>
      </c>
      <c r="F54" s="49">
        <f t="shared" ref="F54:N54" si="5">F38+F39+F40+F42+F43+F44+F46+F47+F48+F50+F51+F52</f>
        <v>281451320</v>
      </c>
      <c r="G54" s="50">
        <f t="shared" si="5"/>
        <v>13203829</v>
      </c>
      <c r="H54" s="50">
        <f t="shared" si="5"/>
        <v>28212644</v>
      </c>
      <c r="I54" s="50">
        <f t="shared" si="5"/>
        <v>62426</v>
      </c>
      <c r="J54" s="50">
        <f t="shared" si="5"/>
        <v>100684605</v>
      </c>
      <c r="K54" s="50">
        <f t="shared" si="5"/>
        <v>17518706</v>
      </c>
      <c r="L54" s="50">
        <f t="shared" si="5"/>
        <v>19382627</v>
      </c>
      <c r="M54" s="51">
        <f t="shared" si="5"/>
        <v>79079261</v>
      </c>
      <c r="N54" s="69">
        <f t="shared" si="5"/>
        <v>23307222</v>
      </c>
      <c r="O54" s="37"/>
    </row>
    <row r="55" spans="5:15" ht="15.95" customHeight="1" thickBot="1" x14ac:dyDescent="0.3">
      <c r="E55" s="58"/>
      <c r="F55" s="26"/>
      <c r="G55" s="27"/>
      <c r="H55" s="27"/>
      <c r="I55" s="27"/>
      <c r="J55" s="27"/>
      <c r="K55" s="27"/>
      <c r="L55" s="27"/>
      <c r="M55" s="28"/>
      <c r="N55" s="67"/>
      <c r="O55" s="37"/>
    </row>
    <row r="56" spans="5:15" ht="16.5" thickTop="1" x14ac:dyDescent="0.25">
      <c r="F56" s="59"/>
      <c r="G56" s="60"/>
      <c r="H56" s="60"/>
      <c r="I56" s="60"/>
      <c r="J56" s="60"/>
      <c r="K56" s="60"/>
      <c r="L56" s="60"/>
      <c r="M56" s="60"/>
      <c r="N56" s="60"/>
      <c r="O56" s="37"/>
    </row>
    <row r="57" spans="5:15" ht="15.75" x14ac:dyDescent="0.25">
      <c r="E57" s="33" t="s">
        <v>23</v>
      </c>
      <c r="F57" s="59"/>
      <c r="G57" s="60"/>
      <c r="H57" s="60"/>
      <c r="I57" s="60"/>
      <c r="J57" s="60"/>
      <c r="K57" s="60"/>
      <c r="L57" s="60"/>
      <c r="M57" s="60"/>
      <c r="N57" s="60"/>
      <c r="O57" s="37"/>
    </row>
    <row r="58" spans="5:15" ht="15.75" x14ac:dyDescent="0.25">
      <c r="E58" s="61"/>
      <c r="F58" s="59"/>
      <c r="G58" s="60"/>
      <c r="H58" s="60"/>
      <c r="I58" s="60"/>
      <c r="J58" s="60"/>
      <c r="K58" s="60"/>
      <c r="L58" s="60"/>
      <c r="M58" s="60"/>
      <c r="N58" s="60"/>
      <c r="O58" s="37"/>
    </row>
    <row r="59" spans="5:15" ht="15.75" x14ac:dyDescent="0.25">
      <c r="F59" s="59"/>
      <c r="G59" s="60"/>
      <c r="H59" s="60"/>
      <c r="I59" s="60"/>
      <c r="J59" s="60"/>
      <c r="K59" s="60"/>
      <c r="L59" s="60"/>
      <c r="M59" s="60"/>
      <c r="N59" s="60"/>
    </row>
    <row r="60" spans="5:15" ht="15.75" x14ac:dyDescent="0.25">
      <c r="F60" s="59"/>
      <c r="G60" s="60"/>
      <c r="H60" s="60"/>
      <c r="I60" s="60"/>
      <c r="J60" s="60"/>
      <c r="K60" s="60"/>
      <c r="L60" s="60"/>
      <c r="M60" s="60"/>
      <c r="N60" s="60"/>
    </row>
    <row r="61" spans="5:15" ht="15.75" x14ac:dyDescent="0.25">
      <c r="F61" s="59"/>
      <c r="G61" s="60"/>
      <c r="H61" s="60"/>
      <c r="I61" s="60"/>
      <c r="J61" s="60"/>
      <c r="K61" s="60"/>
      <c r="L61" s="60"/>
      <c r="M61" s="60"/>
      <c r="N61" s="60"/>
    </row>
    <row r="62" spans="5:15" ht="15.75" x14ac:dyDescent="0.25">
      <c r="F62" s="59"/>
      <c r="G62" s="60"/>
      <c r="H62" s="60"/>
      <c r="I62" s="60"/>
      <c r="J62" s="60"/>
      <c r="K62" s="60"/>
      <c r="L62" s="60"/>
      <c r="M62" s="60"/>
      <c r="N62" s="60"/>
    </row>
    <row r="63" spans="5:15" ht="15.75" x14ac:dyDescent="0.25">
      <c r="F63" s="59"/>
      <c r="G63" s="60"/>
      <c r="H63" s="60"/>
      <c r="I63" s="60"/>
      <c r="J63" s="60"/>
      <c r="K63" s="60"/>
      <c r="L63" s="60"/>
      <c r="M63" s="60"/>
      <c r="N63" s="60"/>
    </row>
    <row r="64" spans="5:15" ht="15.75" x14ac:dyDescent="0.25">
      <c r="F64" s="59"/>
      <c r="G64" s="60"/>
      <c r="H64" s="60"/>
      <c r="I64" s="60"/>
      <c r="J64" s="60"/>
      <c r="K64" s="60"/>
      <c r="L64" s="60"/>
      <c r="M64" s="60"/>
      <c r="N64" s="60"/>
    </row>
    <row r="65" spans="6:14" ht="15.75" x14ac:dyDescent="0.25">
      <c r="F65" s="59"/>
      <c r="G65" s="60"/>
      <c r="H65" s="60"/>
      <c r="I65" s="60"/>
      <c r="J65" s="60"/>
      <c r="K65" s="60"/>
      <c r="L65" s="60"/>
      <c r="M65" s="60"/>
      <c r="N65" s="60"/>
    </row>
    <row r="66" spans="6:14" ht="15.75" x14ac:dyDescent="0.25">
      <c r="F66" s="59"/>
      <c r="G66" s="60"/>
      <c r="H66" s="60"/>
      <c r="I66" s="60"/>
      <c r="J66" s="60"/>
      <c r="K66" s="60"/>
      <c r="L66" s="60"/>
      <c r="M66" s="60"/>
      <c r="N66" s="60"/>
    </row>
    <row r="67" spans="6:14" ht="15.75" x14ac:dyDescent="0.25">
      <c r="F67" s="59"/>
      <c r="G67" s="60"/>
      <c r="H67" s="60"/>
      <c r="I67" s="60"/>
      <c r="J67" s="60"/>
      <c r="K67" s="60"/>
      <c r="L67" s="60"/>
      <c r="M67" s="60"/>
      <c r="N67" s="60"/>
    </row>
    <row r="68" spans="6:14" ht="15.75" x14ac:dyDescent="0.25">
      <c r="F68" s="59"/>
      <c r="G68" s="60"/>
      <c r="H68" s="60"/>
      <c r="I68" s="60"/>
      <c r="J68" s="60"/>
      <c r="K68" s="60"/>
      <c r="L68" s="60"/>
      <c r="M68" s="60"/>
      <c r="N68" s="60"/>
    </row>
    <row r="69" spans="6:14" ht="15.75" x14ac:dyDescent="0.25">
      <c r="F69" s="59"/>
      <c r="G69" s="60"/>
      <c r="H69" s="60"/>
      <c r="I69" s="60"/>
      <c r="J69" s="60"/>
      <c r="K69" s="60"/>
      <c r="L69" s="60"/>
      <c r="M69" s="60"/>
      <c r="N69" s="60"/>
    </row>
    <row r="70" spans="6:14" ht="15.75" x14ac:dyDescent="0.25">
      <c r="F70" s="59"/>
      <c r="G70" s="60"/>
      <c r="H70" s="60"/>
      <c r="I70" s="60"/>
      <c r="J70" s="60"/>
      <c r="K70" s="60"/>
      <c r="L70" s="60"/>
      <c r="M70" s="60"/>
      <c r="N70" s="60"/>
    </row>
    <row r="71" spans="6:14" ht="15.75" x14ac:dyDescent="0.25">
      <c r="F71" s="59"/>
      <c r="G71" s="60"/>
      <c r="H71" s="60"/>
      <c r="I71" s="60"/>
      <c r="J71" s="60"/>
      <c r="K71" s="60"/>
      <c r="L71" s="60"/>
      <c r="M71" s="60"/>
      <c r="N71" s="60"/>
    </row>
    <row r="72" spans="6:14" ht="15.75" x14ac:dyDescent="0.25">
      <c r="F72" s="59"/>
      <c r="G72" s="60"/>
      <c r="H72" s="60"/>
      <c r="I72" s="60"/>
      <c r="J72" s="60"/>
      <c r="K72" s="60"/>
      <c r="L72" s="60"/>
      <c r="M72" s="60"/>
      <c r="N72" s="60"/>
    </row>
    <row r="73" spans="6:14" ht="15.75" x14ac:dyDescent="0.25">
      <c r="F73" s="59"/>
      <c r="G73" s="60"/>
      <c r="H73" s="60"/>
      <c r="I73" s="60"/>
      <c r="J73" s="60"/>
      <c r="K73" s="60"/>
      <c r="L73" s="60"/>
      <c r="M73" s="60"/>
      <c r="N73" s="60"/>
    </row>
    <row r="74" spans="6:14" ht="15.75" x14ac:dyDescent="0.25">
      <c r="F74" s="59"/>
      <c r="G74" s="60"/>
      <c r="H74" s="60"/>
      <c r="I74" s="60"/>
      <c r="J74" s="60"/>
      <c r="K74" s="60"/>
      <c r="L74" s="60"/>
      <c r="M74" s="60"/>
      <c r="N74" s="60"/>
    </row>
    <row r="75" spans="6:14" ht="15.75" x14ac:dyDescent="0.25">
      <c r="F75" s="59"/>
      <c r="G75" s="60"/>
      <c r="H75" s="60"/>
      <c r="I75" s="60"/>
      <c r="J75" s="60"/>
      <c r="K75" s="60"/>
      <c r="L75" s="60"/>
      <c r="M75" s="60"/>
      <c r="N75" s="60"/>
    </row>
    <row r="76" spans="6:14" ht="15.75" x14ac:dyDescent="0.25">
      <c r="F76" s="59"/>
      <c r="G76" s="60"/>
      <c r="H76" s="60"/>
      <c r="I76" s="60"/>
      <c r="J76" s="60"/>
      <c r="K76" s="60"/>
      <c r="L76" s="60"/>
      <c r="M76" s="60"/>
      <c r="N76" s="60"/>
    </row>
    <row r="77" spans="6:14" ht="15.75" x14ac:dyDescent="0.25">
      <c r="F77" s="59"/>
      <c r="G77" s="60"/>
      <c r="H77" s="60"/>
      <c r="I77" s="60"/>
      <c r="J77" s="60"/>
      <c r="K77" s="60"/>
      <c r="L77" s="60"/>
      <c r="M77" s="60"/>
      <c r="N77" s="60"/>
    </row>
    <row r="78" spans="6:14" ht="15.75" x14ac:dyDescent="0.25">
      <c r="F78" s="59"/>
      <c r="G78" s="60"/>
      <c r="H78" s="60"/>
      <c r="I78" s="60"/>
      <c r="J78" s="60"/>
      <c r="K78" s="60"/>
      <c r="L78" s="60"/>
      <c r="M78" s="60"/>
      <c r="N78" s="60"/>
    </row>
    <row r="79" spans="6:14" ht="15.75" x14ac:dyDescent="0.25">
      <c r="F79" s="59"/>
      <c r="G79" s="60"/>
      <c r="H79" s="60"/>
      <c r="I79" s="60"/>
      <c r="J79" s="60"/>
      <c r="K79" s="60"/>
      <c r="L79" s="60"/>
      <c r="M79" s="60"/>
      <c r="N79" s="60"/>
    </row>
    <row r="80" spans="6:14" ht="15.75" x14ac:dyDescent="0.25">
      <c r="F80" s="59"/>
      <c r="G80" s="60"/>
      <c r="H80" s="60"/>
      <c r="I80" s="60"/>
      <c r="J80" s="60"/>
      <c r="K80" s="60"/>
      <c r="L80" s="60"/>
      <c r="M80" s="60"/>
      <c r="N80" s="60"/>
    </row>
    <row r="81" spans="6:14" ht="15.75" x14ac:dyDescent="0.25">
      <c r="F81" s="59"/>
      <c r="G81" s="60"/>
      <c r="H81" s="60"/>
      <c r="I81" s="60"/>
      <c r="J81" s="60"/>
      <c r="K81" s="60"/>
      <c r="L81" s="60"/>
      <c r="M81" s="60"/>
      <c r="N81" s="60"/>
    </row>
    <row r="82" spans="6:14" ht="15.75" x14ac:dyDescent="0.25">
      <c r="F82" s="59"/>
      <c r="G82" s="60"/>
      <c r="H82" s="60"/>
      <c r="I82" s="60"/>
      <c r="J82" s="60"/>
      <c r="K82" s="60"/>
      <c r="L82" s="60"/>
      <c r="M82" s="60"/>
      <c r="N82" s="60"/>
    </row>
    <row r="83" spans="6:14" ht="15.75" x14ac:dyDescent="0.25">
      <c r="F83" s="59"/>
      <c r="G83" s="60"/>
      <c r="H83" s="60"/>
      <c r="I83" s="60"/>
      <c r="J83" s="60"/>
      <c r="K83" s="60"/>
      <c r="L83" s="60"/>
      <c r="M83" s="60"/>
      <c r="N83" s="60"/>
    </row>
    <row r="84" spans="6:14" ht="15.75" x14ac:dyDescent="0.25">
      <c r="F84" s="59"/>
      <c r="G84" s="60"/>
      <c r="H84" s="60"/>
      <c r="I84" s="60"/>
      <c r="J84" s="60"/>
      <c r="K84" s="60"/>
      <c r="L84" s="60"/>
      <c r="M84" s="60"/>
      <c r="N84" s="60"/>
    </row>
    <row r="85" spans="6:14" ht="15.75" x14ac:dyDescent="0.25">
      <c r="F85" s="59"/>
      <c r="G85" s="60"/>
      <c r="H85" s="60"/>
      <c r="I85" s="60"/>
      <c r="J85" s="60"/>
      <c r="K85" s="60"/>
      <c r="L85" s="60"/>
      <c r="M85" s="60"/>
      <c r="N85" s="60"/>
    </row>
    <row r="86" spans="6:14" ht="15.75" x14ac:dyDescent="0.25">
      <c r="F86" s="59"/>
      <c r="G86" s="60"/>
      <c r="H86" s="60"/>
      <c r="I86" s="60"/>
      <c r="J86" s="60"/>
      <c r="K86" s="60"/>
      <c r="L86" s="60"/>
      <c r="M86" s="60"/>
      <c r="N86" s="60"/>
    </row>
    <row r="87" spans="6:14" ht="15.75" x14ac:dyDescent="0.25">
      <c r="F87" s="59"/>
      <c r="G87" s="60"/>
      <c r="H87" s="60"/>
      <c r="I87" s="60"/>
      <c r="J87" s="60"/>
      <c r="K87" s="60"/>
      <c r="L87" s="60"/>
      <c r="M87" s="60"/>
      <c r="N87" s="60"/>
    </row>
    <row r="88" spans="6:14" ht="15.75" x14ac:dyDescent="0.25">
      <c r="F88" s="59"/>
      <c r="G88" s="60"/>
      <c r="H88" s="60"/>
      <c r="I88" s="60"/>
      <c r="J88" s="60"/>
      <c r="K88" s="60"/>
      <c r="L88" s="60"/>
      <c r="M88" s="60"/>
      <c r="N88" s="60"/>
    </row>
    <row r="89" spans="6:14" ht="15.75" x14ac:dyDescent="0.25">
      <c r="F89" s="59"/>
      <c r="G89" s="60"/>
      <c r="H89" s="60"/>
      <c r="I89" s="60"/>
      <c r="J89" s="60"/>
      <c r="K89" s="60"/>
      <c r="L89" s="60"/>
      <c r="M89" s="60"/>
      <c r="N89" s="60"/>
    </row>
    <row r="90" spans="6:14" ht="15.75" x14ac:dyDescent="0.25">
      <c r="F90" s="59"/>
      <c r="G90" s="60"/>
      <c r="H90" s="60"/>
      <c r="I90" s="60"/>
      <c r="J90" s="60"/>
      <c r="K90" s="60"/>
      <c r="L90" s="60"/>
      <c r="M90" s="60"/>
      <c r="N90" s="60"/>
    </row>
    <row r="91" spans="6:14" ht="15.75" x14ac:dyDescent="0.25">
      <c r="F91" s="59"/>
      <c r="G91" s="60"/>
      <c r="H91" s="60"/>
      <c r="I91" s="60"/>
      <c r="J91" s="60"/>
      <c r="K91" s="60"/>
      <c r="L91" s="60"/>
      <c r="M91" s="60"/>
      <c r="N91" s="60"/>
    </row>
    <row r="92" spans="6:14" ht="15.75" x14ac:dyDescent="0.25">
      <c r="F92" s="59"/>
      <c r="G92" s="60"/>
      <c r="H92" s="60"/>
      <c r="I92" s="60"/>
      <c r="J92" s="60"/>
      <c r="K92" s="60"/>
      <c r="L92" s="60"/>
      <c r="M92" s="60"/>
      <c r="N92" s="60"/>
    </row>
    <row r="93" spans="6:14" ht="15.75" x14ac:dyDescent="0.25">
      <c r="F93" s="59"/>
      <c r="G93" s="60"/>
      <c r="H93" s="60"/>
      <c r="I93" s="60"/>
      <c r="J93" s="60"/>
      <c r="K93" s="60"/>
      <c r="L93" s="60"/>
      <c r="M93" s="60"/>
      <c r="N93" s="60"/>
    </row>
    <row r="94" spans="6:14" ht="15.75" x14ac:dyDescent="0.25">
      <c r="F94" s="59"/>
      <c r="G94" s="60"/>
      <c r="H94" s="60"/>
      <c r="I94" s="60"/>
      <c r="J94" s="60"/>
      <c r="K94" s="60"/>
      <c r="L94" s="60"/>
      <c r="M94" s="60"/>
      <c r="N94" s="60"/>
    </row>
    <row r="95" spans="6:14" ht="15.75" x14ac:dyDescent="0.25">
      <c r="F95" s="59"/>
      <c r="G95" s="60"/>
      <c r="H95" s="60"/>
      <c r="I95" s="60"/>
      <c r="J95" s="60"/>
      <c r="K95" s="60"/>
      <c r="L95" s="60"/>
      <c r="M95" s="60"/>
      <c r="N95" s="60"/>
    </row>
    <row r="96" spans="6:14" ht="15.75" x14ac:dyDescent="0.25">
      <c r="F96" s="59"/>
      <c r="G96" s="60"/>
      <c r="H96" s="60"/>
      <c r="I96" s="60"/>
      <c r="J96" s="60"/>
      <c r="K96" s="60"/>
      <c r="L96" s="60"/>
      <c r="M96" s="60"/>
      <c r="N96" s="60"/>
    </row>
    <row r="97" spans="6:14" ht="15.75" x14ac:dyDescent="0.25">
      <c r="F97" s="59"/>
      <c r="G97" s="60"/>
      <c r="H97" s="60"/>
      <c r="I97" s="60"/>
      <c r="J97" s="60"/>
      <c r="K97" s="60"/>
      <c r="L97" s="60"/>
      <c r="M97" s="60"/>
      <c r="N97" s="60"/>
    </row>
    <row r="98" spans="6:14" ht="15.75" x14ac:dyDescent="0.25">
      <c r="F98" s="59"/>
      <c r="G98" s="60"/>
      <c r="H98" s="60"/>
      <c r="I98" s="60"/>
      <c r="J98" s="60"/>
      <c r="K98" s="60"/>
      <c r="L98" s="60"/>
      <c r="M98" s="60"/>
      <c r="N98" s="60"/>
    </row>
    <row r="99" spans="6:14" ht="15.75" x14ac:dyDescent="0.25">
      <c r="F99" s="59"/>
      <c r="G99" s="60"/>
      <c r="H99" s="60"/>
      <c r="I99" s="60"/>
      <c r="J99" s="60"/>
      <c r="K99" s="60"/>
      <c r="L99" s="60"/>
      <c r="M99" s="60"/>
      <c r="N99" s="60"/>
    </row>
    <row r="100" spans="6:14" ht="15.75" x14ac:dyDescent="0.25">
      <c r="F100" s="59"/>
      <c r="G100" s="60"/>
      <c r="H100" s="60"/>
      <c r="I100" s="60"/>
      <c r="J100" s="60"/>
      <c r="K100" s="60"/>
      <c r="L100" s="60"/>
      <c r="M100" s="60"/>
      <c r="N100" s="60"/>
    </row>
    <row r="101" spans="6:14" ht="15.75" x14ac:dyDescent="0.25">
      <c r="F101" s="59"/>
      <c r="G101" s="60"/>
      <c r="H101" s="60"/>
      <c r="I101" s="60"/>
      <c r="J101" s="60"/>
      <c r="K101" s="60"/>
      <c r="L101" s="60"/>
      <c r="M101" s="60"/>
      <c r="N101" s="60"/>
    </row>
    <row r="102" spans="6:14" ht="15.75" x14ac:dyDescent="0.25">
      <c r="F102" s="59"/>
      <c r="G102" s="60"/>
      <c r="H102" s="60"/>
      <c r="I102" s="60"/>
      <c r="J102" s="60"/>
      <c r="K102" s="60"/>
      <c r="L102" s="60"/>
      <c r="M102" s="60"/>
      <c r="N102" s="60"/>
    </row>
    <row r="103" spans="6:14" ht="15.75" x14ac:dyDescent="0.25">
      <c r="F103" s="59"/>
      <c r="G103" s="60"/>
      <c r="H103" s="60"/>
      <c r="I103" s="60"/>
      <c r="J103" s="60"/>
      <c r="K103" s="60"/>
      <c r="L103" s="60"/>
      <c r="M103" s="60"/>
      <c r="N103" s="60"/>
    </row>
    <row r="104" spans="6:14" ht="15.75" x14ac:dyDescent="0.25">
      <c r="F104" s="59"/>
      <c r="G104" s="60"/>
      <c r="H104" s="60"/>
      <c r="I104" s="60"/>
      <c r="J104" s="60"/>
      <c r="K104" s="60"/>
      <c r="L104" s="60"/>
      <c r="M104" s="60"/>
      <c r="N104" s="60"/>
    </row>
    <row r="105" spans="6:14" ht="15.75" x14ac:dyDescent="0.25">
      <c r="F105" s="59"/>
      <c r="G105" s="60"/>
      <c r="H105" s="60"/>
      <c r="I105" s="60"/>
      <c r="J105" s="60"/>
      <c r="K105" s="60"/>
      <c r="L105" s="60"/>
      <c r="M105" s="60"/>
      <c r="N105" s="60"/>
    </row>
    <row r="106" spans="6:14" ht="15.75" x14ac:dyDescent="0.25">
      <c r="F106" s="59"/>
      <c r="G106" s="60"/>
      <c r="H106" s="60"/>
      <c r="I106" s="60"/>
      <c r="J106" s="60"/>
      <c r="K106" s="60"/>
      <c r="L106" s="60"/>
      <c r="M106" s="60"/>
      <c r="N106" s="60"/>
    </row>
    <row r="107" spans="6:14" ht="15.75" x14ac:dyDescent="0.25">
      <c r="F107" s="59"/>
      <c r="G107" s="60"/>
      <c r="H107" s="60"/>
      <c r="I107" s="60"/>
      <c r="J107" s="60"/>
      <c r="K107" s="60"/>
      <c r="L107" s="60"/>
      <c r="M107" s="60"/>
      <c r="N107" s="60"/>
    </row>
    <row r="108" spans="6:14" ht="15.75" x14ac:dyDescent="0.25">
      <c r="F108" s="59"/>
      <c r="G108" s="60"/>
      <c r="H108" s="60"/>
      <c r="I108" s="60"/>
      <c r="J108" s="60"/>
      <c r="K108" s="60"/>
      <c r="L108" s="60"/>
      <c r="M108" s="60"/>
      <c r="N108" s="60"/>
    </row>
    <row r="109" spans="6:14" ht="15.75" x14ac:dyDescent="0.25">
      <c r="F109" s="59"/>
      <c r="G109" s="60"/>
      <c r="H109" s="60"/>
      <c r="I109" s="60"/>
      <c r="J109" s="60"/>
      <c r="K109" s="60"/>
      <c r="L109" s="60"/>
      <c r="M109" s="60"/>
      <c r="N109" s="60"/>
    </row>
    <row r="110" spans="6:14" ht="15.75" x14ac:dyDescent="0.25">
      <c r="F110" s="59"/>
      <c r="G110" s="60"/>
      <c r="H110" s="60"/>
      <c r="I110" s="60"/>
      <c r="J110" s="60"/>
      <c r="K110" s="60"/>
      <c r="L110" s="60"/>
      <c r="M110" s="60"/>
      <c r="N110" s="60"/>
    </row>
    <row r="111" spans="6:14" ht="15.75" x14ac:dyDescent="0.25">
      <c r="F111" s="59"/>
      <c r="G111" s="60"/>
      <c r="H111" s="60"/>
      <c r="I111" s="60"/>
      <c r="J111" s="60"/>
      <c r="K111" s="60"/>
      <c r="L111" s="60"/>
      <c r="M111" s="60"/>
      <c r="N111" s="60"/>
    </row>
    <row r="112" spans="6:14" ht="15.75" x14ac:dyDescent="0.25">
      <c r="F112" s="59"/>
      <c r="G112" s="60"/>
      <c r="H112" s="60"/>
      <c r="I112" s="60"/>
      <c r="J112" s="60"/>
      <c r="K112" s="60"/>
      <c r="L112" s="60"/>
      <c r="M112" s="60"/>
      <c r="N112" s="60"/>
    </row>
    <row r="113" spans="6:14" ht="15.75" x14ac:dyDescent="0.25">
      <c r="F113" s="59"/>
      <c r="G113" s="60"/>
      <c r="H113" s="60"/>
      <c r="I113" s="60"/>
      <c r="J113" s="60"/>
      <c r="K113" s="60"/>
      <c r="L113" s="60"/>
      <c r="M113" s="60"/>
      <c r="N113" s="60"/>
    </row>
    <row r="114" spans="6:14" ht="15.75" x14ac:dyDescent="0.25">
      <c r="F114" s="59"/>
      <c r="G114" s="60"/>
      <c r="H114" s="60"/>
      <c r="I114" s="60"/>
      <c r="J114" s="60"/>
      <c r="K114" s="60"/>
      <c r="L114" s="60"/>
      <c r="M114" s="60"/>
      <c r="N114" s="60"/>
    </row>
    <row r="115" spans="6:14" ht="15.75" x14ac:dyDescent="0.25">
      <c r="F115" s="59"/>
      <c r="G115" s="60"/>
      <c r="H115" s="60"/>
      <c r="I115" s="60"/>
      <c r="J115" s="60"/>
      <c r="K115" s="60"/>
      <c r="L115" s="60"/>
      <c r="M115" s="60"/>
      <c r="N115" s="60"/>
    </row>
    <row r="116" spans="6:14" ht="15.75" x14ac:dyDescent="0.25">
      <c r="F116" s="59"/>
      <c r="G116" s="60"/>
      <c r="H116" s="60"/>
      <c r="I116" s="60"/>
      <c r="J116" s="60"/>
      <c r="K116" s="60"/>
      <c r="L116" s="60"/>
      <c r="M116" s="60"/>
      <c r="N116" s="60"/>
    </row>
    <row r="117" spans="6:14" ht="15.75" x14ac:dyDescent="0.25">
      <c r="F117" s="59"/>
      <c r="G117" s="60"/>
      <c r="H117" s="60"/>
      <c r="I117" s="60"/>
      <c r="J117" s="60"/>
      <c r="K117" s="60"/>
      <c r="L117" s="60"/>
      <c r="M117" s="60"/>
      <c r="N117" s="60"/>
    </row>
    <row r="118" spans="6:14" ht="15.75" x14ac:dyDescent="0.25">
      <c r="F118" s="59"/>
      <c r="G118" s="60"/>
      <c r="H118" s="60"/>
      <c r="I118" s="60"/>
      <c r="J118" s="60"/>
      <c r="K118" s="60"/>
      <c r="L118" s="60"/>
      <c r="M118" s="60"/>
      <c r="N118" s="60"/>
    </row>
    <row r="119" spans="6:14" ht="15.75" x14ac:dyDescent="0.25">
      <c r="F119" s="59"/>
      <c r="G119" s="60"/>
      <c r="H119" s="60"/>
      <c r="I119" s="60"/>
      <c r="J119" s="60"/>
      <c r="K119" s="60"/>
      <c r="L119" s="60"/>
      <c r="M119" s="60"/>
      <c r="N119" s="60"/>
    </row>
    <row r="120" spans="6:14" ht="15.75" x14ac:dyDescent="0.25">
      <c r="F120" s="59"/>
      <c r="G120" s="60"/>
      <c r="H120" s="60"/>
      <c r="I120" s="60"/>
      <c r="J120" s="60"/>
      <c r="K120" s="60"/>
      <c r="L120" s="60"/>
      <c r="M120" s="60"/>
      <c r="N120" s="60"/>
    </row>
    <row r="121" spans="6:14" ht="15.75" x14ac:dyDescent="0.25">
      <c r="F121" s="59"/>
      <c r="G121" s="60"/>
      <c r="H121" s="60"/>
      <c r="I121" s="60"/>
      <c r="J121" s="60"/>
      <c r="K121" s="60"/>
      <c r="L121" s="60"/>
      <c r="M121" s="60"/>
      <c r="N121" s="60"/>
    </row>
    <row r="122" spans="6:14" ht="15.75" x14ac:dyDescent="0.25">
      <c r="F122" s="59"/>
      <c r="G122" s="60"/>
      <c r="H122" s="60"/>
      <c r="I122" s="60"/>
      <c r="J122" s="60"/>
      <c r="K122" s="60"/>
      <c r="L122" s="60"/>
      <c r="M122" s="60"/>
      <c r="N122" s="60"/>
    </row>
    <row r="123" spans="6:14" ht="15.75" x14ac:dyDescent="0.25">
      <c r="F123" s="59"/>
      <c r="G123" s="60"/>
      <c r="H123" s="60"/>
      <c r="I123" s="60"/>
      <c r="J123" s="60"/>
      <c r="K123" s="60"/>
      <c r="L123" s="60"/>
      <c r="M123" s="60"/>
      <c r="N123" s="60"/>
    </row>
    <row r="124" spans="6:14" ht="15.75" x14ac:dyDescent="0.25">
      <c r="F124" s="59"/>
      <c r="G124" s="60"/>
      <c r="H124" s="60"/>
      <c r="I124" s="60"/>
      <c r="J124" s="60"/>
      <c r="K124" s="60"/>
      <c r="L124" s="60"/>
      <c r="M124" s="60"/>
      <c r="N124" s="60"/>
    </row>
    <row r="125" spans="6:14" ht="15.75" x14ac:dyDescent="0.25">
      <c r="F125" s="59"/>
      <c r="G125" s="60"/>
      <c r="H125" s="60"/>
      <c r="I125" s="60"/>
      <c r="J125" s="60"/>
      <c r="K125" s="60"/>
      <c r="L125" s="60"/>
      <c r="M125" s="60"/>
      <c r="N125" s="60"/>
    </row>
    <row r="126" spans="6:14" ht="15.75" x14ac:dyDescent="0.25">
      <c r="F126" s="59"/>
      <c r="G126" s="60"/>
      <c r="H126" s="60"/>
      <c r="I126" s="60"/>
      <c r="J126" s="60"/>
      <c r="K126" s="60"/>
      <c r="L126" s="60"/>
      <c r="M126" s="60"/>
      <c r="N126" s="60"/>
    </row>
    <row r="127" spans="6:14" ht="15.75" x14ac:dyDescent="0.25">
      <c r="F127" s="59"/>
      <c r="G127" s="60"/>
      <c r="H127" s="60"/>
      <c r="I127" s="60"/>
      <c r="J127" s="60"/>
      <c r="K127" s="60"/>
      <c r="L127" s="60"/>
      <c r="M127" s="60"/>
      <c r="N127" s="60"/>
    </row>
    <row r="128" spans="6:14" ht="15.75" x14ac:dyDescent="0.25">
      <c r="F128" s="59"/>
      <c r="G128" s="60"/>
      <c r="H128" s="60"/>
      <c r="I128" s="60"/>
      <c r="J128" s="60"/>
      <c r="K128" s="60"/>
      <c r="L128" s="60"/>
      <c r="M128" s="60"/>
      <c r="N128" s="60"/>
    </row>
    <row r="129" spans="6:14" ht="15.75" x14ac:dyDescent="0.25">
      <c r="F129" s="59"/>
      <c r="G129" s="60"/>
      <c r="H129" s="60"/>
      <c r="I129" s="60"/>
      <c r="J129" s="60"/>
      <c r="K129" s="60"/>
      <c r="L129" s="60"/>
      <c r="M129" s="60"/>
      <c r="N129" s="60"/>
    </row>
    <row r="130" spans="6:14" ht="15.75" x14ac:dyDescent="0.25">
      <c r="F130" s="59"/>
      <c r="G130" s="60"/>
      <c r="H130" s="60"/>
      <c r="I130" s="60"/>
      <c r="J130" s="60"/>
      <c r="K130" s="60"/>
      <c r="L130" s="60"/>
      <c r="M130" s="60"/>
      <c r="N130" s="60"/>
    </row>
    <row r="131" spans="6:14" ht="15.75" x14ac:dyDescent="0.25">
      <c r="F131" s="59"/>
      <c r="G131" s="60"/>
      <c r="H131" s="60"/>
      <c r="I131" s="60"/>
      <c r="J131" s="60"/>
      <c r="K131" s="60"/>
      <c r="L131" s="60"/>
      <c r="M131" s="60"/>
      <c r="N131" s="60"/>
    </row>
    <row r="132" spans="6:14" ht="15.75" x14ac:dyDescent="0.25">
      <c r="F132" s="59"/>
      <c r="G132" s="60"/>
      <c r="H132" s="60"/>
      <c r="I132" s="60"/>
      <c r="J132" s="60"/>
      <c r="K132" s="60"/>
      <c r="L132" s="60"/>
      <c r="M132" s="60"/>
      <c r="N132" s="60"/>
    </row>
    <row r="133" spans="6:14" ht="15.75" x14ac:dyDescent="0.25">
      <c r="F133" s="59"/>
      <c r="G133" s="60"/>
      <c r="H133" s="60"/>
      <c r="I133" s="60"/>
      <c r="J133" s="60"/>
      <c r="K133" s="60"/>
      <c r="L133" s="60"/>
      <c r="M133" s="60"/>
      <c r="N133" s="60"/>
    </row>
    <row r="134" spans="6:14" ht="15.75" x14ac:dyDescent="0.25">
      <c r="F134" s="59"/>
      <c r="G134" s="60"/>
      <c r="H134" s="60"/>
      <c r="I134" s="60"/>
      <c r="J134" s="60"/>
      <c r="K134" s="60"/>
      <c r="L134" s="60"/>
      <c r="M134" s="60"/>
      <c r="N134" s="60"/>
    </row>
    <row r="135" spans="6:14" ht="15.75" x14ac:dyDescent="0.25">
      <c r="F135" s="59"/>
      <c r="G135" s="60"/>
      <c r="H135" s="60"/>
      <c r="I135" s="60"/>
      <c r="J135" s="60"/>
      <c r="K135" s="60"/>
      <c r="L135" s="60"/>
      <c r="M135" s="60"/>
      <c r="N135" s="60"/>
    </row>
    <row r="136" spans="6:14" ht="15.75" x14ac:dyDescent="0.25">
      <c r="F136" s="59"/>
      <c r="G136" s="60"/>
      <c r="H136" s="60"/>
      <c r="I136" s="60"/>
      <c r="J136" s="60"/>
      <c r="K136" s="60"/>
      <c r="L136" s="60"/>
      <c r="M136" s="60"/>
      <c r="N136" s="60"/>
    </row>
    <row r="137" spans="6:14" ht="15.75" x14ac:dyDescent="0.25">
      <c r="F137" s="59"/>
      <c r="G137" s="60"/>
      <c r="H137" s="60"/>
      <c r="I137" s="60"/>
      <c r="J137" s="60"/>
      <c r="K137" s="60"/>
      <c r="L137" s="60"/>
      <c r="M137" s="60"/>
      <c r="N137" s="60"/>
    </row>
    <row r="138" spans="6:14" ht="15.75" x14ac:dyDescent="0.25">
      <c r="F138" s="59"/>
      <c r="G138" s="60"/>
      <c r="H138" s="60"/>
      <c r="I138" s="60"/>
      <c r="J138" s="60"/>
      <c r="K138" s="60"/>
      <c r="L138" s="60"/>
      <c r="M138" s="60"/>
      <c r="N138" s="60"/>
    </row>
    <row r="139" spans="6:14" ht="15.75" x14ac:dyDescent="0.25">
      <c r="F139" s="59"/>
      <c r="G139" s="60"/>
      <c r="H139" s="60"/>
      <c r="I139" s="60"/>
      <c r="J139" s="60"/>
      <c r="K139" s="60"/>
      <c r="L139" s="60"/>
      <c r="M139" s="60"/>
      <c r="N139" s="60"/>
    </row>
    <row r="140" spans="6:14" ht="15.75" x14ac:dyDescent="0.25">
      <c r="F140" s="59"/>
      <c r="G140" s="60"/>
      <c r="H140" s="60"/>
      <c r="I140" s="60"/>
      <c r="J140" s="60"/>
      <c r="K140" s="60"/>
      <c r="L140" s="60"/>
      <c r="M140" s="60"/>
      <c r="N140" s="60"/>
    </row>
    <row r="141" spans="6:14" ht="15.75" x14ac:dyDescent="0.25">
      <c r="F141" s="59"/>
      <c r="G141" s="60"/>
      <c r="H141" s="60"/>
      <c r="I141" s="60"/>
      <c r="J141" s="60"/>
      <c r="K141" s="60"/>
      <c r="L141" s="60"/>
      <c r="M141" s="60"/>
      <c r="N141" s="60"/>
    </row>
    <row r="142" spans="6:14" ht="15.75" x14ac:dyDescent="0.25">
      <c r="F142" s="59"/>
      <c r="G142" s="60"/>
      <c r="H142" s="60"/>
      <c r="I142" s="60"/>
      <c r="J142" s="60"/>
      <c r="K142" s="60"/>
      <c r="L142" s="60"/>
      <c r="M142" s="60"/>
      <c r="N142" s="60"/>
    </row>
    <row r="143" spans="6:14" ht="15.75" x14ac:dyDescent="0.25">
      <c r="F143" s="59"/>
      <c r="G143" s="60"/>
      <c r="H143" s="60"/>
      <c r="I143" s="60"/>
      <c r="J143" s="60"/>
      <c r="K143" s="60"/>
      <c r="L143" s="60"/>
      <c r="M143" s="60"/>
      <c r="N143" s="60"/>
    </row>
    <row r="144" spans="6:14" ht="15.75" x14ac:dyDescent="0.25">
      <c r="F144" s="59"/>
      <c r="G144" s="60"/>
      <c r="H144" s="60"/>
      <c r="I144" s="60"/>
      <c r="J144" s="60"/>
      <c r="K144" s="60"/>
      <c r="L144" s="60"/>
      <c r="M144" s="60"/>
      <c r="N144" s="60"/>
    </row>
    <row r="145" spans="6:14" ht="15.75" x14ac:dyDescent="0.25">
      <c r="F145" s="59"/>
      <c r="G145" s="60"/>
      <c r="H145" s="60"/>
      <c r="I145" s="60"/>
      <c r="J145" s="60"/>
      <c r="K145" s="60"/>
      <c r="L145" s="60"/>
      <c r="M145" s="60"/>
      <c r="N145" s="60"/>
    </row>
    <row r="146" spans="6:14" ht="15.75" x14ac:dyDescent="0.25">
      <c r="F146" s="59"/>
      <c r="G146" s="60"/>
      <c r="H146" s="60"/>
      <c r="I146" s="60"/>
      <c r="J146" s="60"/>
      <c r="K146" s="60"/>
      <c r="L146" s="60"/>
      <c r="M146" s="60"/>
      <c r="N146" s="60"/>
    </row>
    <row r="147" spans="6:14" ht="15.75" x14ac:dyDescent="0.25">
      <c r="F147" s="59"/>
      <c r="G147" s="60"/>
      <c r="H147" s="60"/>
      <c r="I147" s="60"/>
      <c r="J147" s="60"/>
      <c r="K147" s="60"/>
      <c r="L147" s="60"/>
      <c r="M147" s="60"/>
      <c r="N147" s="60"/>
    </row>
    <row r="148" spans="6:14" ht="15.75" x14ac:dyDescent="0.25">
      <c r="F148" s="59"/>
      <c r="G148" s="60"/>
      <c r="H148" s="60"/>
      <c r="I148" s="60"/>
      <c r="J148" s="60"/>
      <c r="K148" s="60"/>
      <c r="L148" s="60"/>
      <c r="M148" s="60"/>
      <c r="N148" s="60"/>
    </row>
    <row r="149" spans="6:14" ht="15.75" x14ac:dyDescent="0.25">
      <c r="F149" s="59"/>
      <c r="G149" s="60"/>
      <c r="H149" s="60"/>
      <c r="I149" s="60"/>
      <c r="J149" s="60"/>
      <c r="K149" s="60"/>
      <c r="L149" s="60"/>
      <c r="M149" s="60"/>
      <c r="N149" s="60"/>
    </row>
    <row r="150" spans="6:14" ht="15.75" x14ac:dyDescent="0.25">
      <c r="F150" s="59"/>
      <c r="G150" s="60"/>
      <c r="H150" s="60"/>
      <c r="I150" s="60"/>
      <c r="J150" s="60"/>
      <c r="K150" s="60"/>
      <c r="L150" s="60"/>
      <c r="M150" s="60"/>
      <c r="N150" s="60"/>
    </row>
    <row r="151" spans="6:14" ht="15.75" x14ac:dyDescent="0.25">
      <c r="F151" s="59"/>
      <c r="G151" s="60"/>
      <c r="H151" s="60"/>
      <c r="I151" s="60"/>
      <c r="J151" s="60"/>
      <c r="K151" s="60"/>
      <c r="L151" s="60"/>
      <c r="M151" s="60"/>
      <c r="N151" s="60"/>
    </row>
    <row r="152" spans="6:14" ht="15.75" x14ac:dyDescent="0.25">
      <c r="F152" s="59"/>
      <c r="G152" s="60"/>
      <c r="H152" s="60"/>
      <c r="I152" s="60"/>
      <c r="J152" s="60"/>
      <c r="K152" s="60"/>
      <c r="L152" s="60"/>
      <c r="M152" s="60"/>
      <c r="N152" s="60"/>
    </row>
    <row r="153" spans="6:14" ht="15.75" x14ac:dyDescent="0.25">
      <c r="F153" s="59"/>
      <c r="G153" s="60"/>
      <c r="H153" s="60"/>
      <c r="I153" s="60"/>
      <c r="J153" s="60"/>
      <c r="K153" s="60"/>
      <c r="L153" s="60"/>
      <c r="M153" s="60"/>
      <c r="N153" s="60"/>
    </row>
    <row r="154" spans="6:14" ht="15.75" x14ac:dyDescent="0.25">
      <c r="F154" s="59"/>
      <c r="G154" s="60"/>
      <c r="H154" s="60"/>
      <c r="I154" s="60"/>
      <c r="J154" s="60"/>
      <c r="K154" s="60"/>
      <c r="L154" s="60"/>
      <c r="M154" s="60"/>
      <c r="N154" s="60"/>
    </row>
    <row r="155" spans="6:14" ht="15.75" x14ac:dyDescent="0.25">
      <c r="F155" s="59"/>
      <c r="G155" s="60"/>
      <c r="H155" s="60"/>
      <c r="I155" s="60"/>
      <c r="J155" s="60"/>
      <c r="K155" s="60"/>
      <c r="L155" s="60"/>
      <c r="M155" s="60"/>
      <c r="N155" s="60"/>
    </row>
    <row r="156" spans="6:14" ht="15.75" x14ac:dyDescent="0.25">
      <c r="F156" s="59"/>
      <c r="G156" s="60"/>
      <c r="H156" s="60"/>
      <c r="I156" s="60"/>
      <c r="J156" s="60"/>
      <c r="K156" s="60"/>
      <c r="L156" s="60"/>
      <c r="M156" s="60"/>
      <c r="N156" s="60"/>
    </row>
    <row r="157" spans="6:14" ht="15.75" x14ac:dyDescent="0.25">
      <c r="F157" s="59"/>
      <c r="G157" s="60"/>
      <c r="H157" s="60"/>
      <c r="I157" s="60"/>
      <c r="J157" s="60"/>
      <c r="K157" s="60"/>
      <c r="L157" s="60"/>
      <c r="M157" s="60"/>
      <c r="N157" s="60"/>
    </row>
    <row r="158" spans="6:14" ht="15.75" x14ac:dyDescent="0.25">
      <c r="F158" s="59"/>
      <c r="G158" s="60"/>
      <c r="H158" s="60"/>
      <c r="I158" s="60"/>
      <c r="J158" s="60"/>
      <c r="K158" s="60"/>
      <c r="L158" s="60"/>
      <c r="M158" s="60"/>
      <c r="N158" s="60"/>
    </row>
    <row r="159" spans="6:14" ht="15.75" x14ac:dyDescent="0.25">
      <c r="F159" s="59"/>
      <c r="G159" s="60"/>
      <c r="H159" s="60"/>
      <c r="I159" s="60"/>
      <c r="J159" s="60"/>
      <c r="K159" s="60"/>
      <c r="L159" s="60"/>
      <c r="M159" s="60"/>
      <c r="N159" s="60"/>
    </row>
    <row r="160" spans="6:14" ht="15.75" x14ac:dyDescent="0.25">
      <c r="F160" s="59"/>
      <c r="G160" s="60"/>
      <c r="H160" s="60"/>
      <c r="I160" s="60"/>
      <c r="J160" s="60"/>
      <c r="K160" s="60"/>
      <c r="L160" s="60"/>
      <c r="M160" s="60"/>
      <c r="N160" s="60"/>
    </row>
    <row r="161" spans="6:14" ht="15.75" x14ac:dyDescent="0.25">
      <c r="F161" s="59"/>
      <c r="G161" s="60"/>
      <c r="H161" s="60"/>
      <c r="I161" s="60"/>
      <c r="J161" s="60"/>
      <c r="K161" s="60"/>
      <c r="L161" s="60"/>
      <c r="M161" s="60"/>
      <c r="N161" s="60"/>
    </row>
    <row r="162" spans="6:14" ht="15.75" x14ac:dyDescent="0.25">
      <c r="F162" s="59"/>
      <c r="G162" s="60"/>
      <c r="H162" s="60"/>
      <c r="I162" s="60"/>
      <c r="J162" s="60"/>
      <c r="K162" s="60"/>
      <c r="L162" s="60"/>
      <c r="M162" s="60"/>
      <c r="N162" s="60"/>
    </row>
    <row r="163" spans="6:14" ht="15.75" x14ac:dyDescent="0.25">
      <c r="F163" s="59"/>
      <c r="G163" s="60"/>
      <c r="H163" s="60"/>
      <c r="I163" s="60"/>
      <c r="J163" s="60"/>
      <c r="K163" s="60"/>
      <c r="L163" s="60"/>
      <c r="M163" s="60"/>
      <c r="N163" s="60"/>
    </row>
    <row r="164" spans="6:14" ht="15.75" x14ac:dyDescent="0.25">
      <c r="F164" s="59"/>
      <c r="G164" s="60"/>
      <c r="H164" s="60"/>
      <c r="I164" s="60"/>
      <c r="J164" s="60"/>
      <c r="K164" s="60"/>
      <c r="L164" s="60"/>
      <c r="M164" s="60"/>
      <c r="N164" s="60"/>
    </row>
    <row r="165" spans="6:14" ht="15.75" x14ac:dyDescent="0.25">
      <c r="F165" s="59"/>
      <c r="G165" s="60"/>
      <c r="H165" s="60"/>
      <c r="I165" s="60"/>
      <c r="J165" s="60"/>
      <c r="K165" s="60"/>
      <c r="L165" s="60"/>
      <c r="M165" s="60"/>
      <c r="N165" s="60"/>
    </row>
    <row r="166" spans="6:14" ht="15.75" x14ac:dyDescent="0.25">
      <c r="F166" s="59"/>
      <c r="G166" s="60"/>
      <c r="H166" s="60"/>
      <c r="I166" s="60"/>
      <c r="J166" s="60"/>
      <c r="K166" s="60"/>
      <c r="L166" s="60"/>
      <c r="M166" s="60"/>
      <c r="N166" s="60"/>
    </row>
    <row r="167" spans="6:14" ht="15.75" x14ac:dyDescent="0.25">
      <c r="F167" s="59"/>
      <c r="G167" s="60"/>
      <c r="H167" s="60"/>
      <c r="I167" s="60"/>
      <c r="J167" s="60"/>
      <c r="K167" s="60"/>
      <c r="L167" s="60"/>
      <c r="M167" s="60"/>
      <c r="N167" s="60"/>
    </row>
    <row r="168" spans="6:14" ht="15.75" x14ac:dyDescent="0.25">
      <c r="F168" s="59"/>
      <c r="G168" s="60"/>
      <c r="H168" s="60"/>
      <c r="I168" s="60"/>
      <c r="J168" s="60"/>
      <c r="K168" s="60"/>
      <c r="L168" s="60"/>
      <c r="M168" s="60"/>
      <c r="N168" s="60"/>
    </row>
    <row r="169" spans="6:14" ht="15.75" x14ac:dyDescent="0.25">
      <c r="F169" s="59"/>
      <c r="G169" s="60"/>
      <c r="H169" s="60"/>
      <c r="I169" s="60"/>
      <c r="J169" s="60"/>
      <c r="K169" s="60"/>
      <c r="L169" s="60"/>
      <c r="M169" s="60"/>
      <c r="N169" s="60"/>
    </row>
    <row r="170" spans="6:14" ht="15.75" x14ac:dyDescent="0.25">
      <c r="F170" s="59"/>
      <c r="G170" s="60"/>
      <c r="H170" s="60"/>
      <c r="I170" s="60"/>
      <c r="J170" s="60"/>
      <c r="K170" s="60"/>
      <c r="L170" s="60"/>
      <c r="M170" s="60"/>
      <c r="N170" s="60"/>
    </row>
    <row r="171" spans="6:14" ht="15.75" x14ac:dyDescent="0.25">
      <c r="F171" s="59"/>
      <c r="G171" s="60"/>
      <c r="H171" s="60"/>
      <c r="I171" s="60"/>
      <c r="J171" s="60"/>
      <c r="K171" s="60"/>
      <c r="L171" s="60"/>
      <c r="M171" s="60"/>
      <c r="N171" s="60"/>
    </row>
    <row r="172" spans="6:14" ht="15.75" x14ac:dyDescent="0.25">
      <c r="F172" s="59"/>
      <c r="G172" s="60"/>
      <c r="H172" s="60"/>
      <c r="I172" s="60"/>
      <c r="J172" s="60"/>
      <c r="K172" s="60"/>
      <c r="L172" s="60"/>
      <c r="M172" s="60"/>
      <c r="N172" s="60"/>
    </row>
    <row r="173" spans="6:14" ht="15.75" x14ac:dyDescent="0.25">
      <c r="F173" s="59"/>
      <c r="G173" s="60"/>
      <c r="H173" s="60"/>
      <c r="I173" s="60"/>
      <c r="J173" s="60"/>
      <c r="K173" s="60"/>
      <c r="L173" s="60"/>
      <c r="M173" s="60"/>
      <c r="N173" s="60"/>
    </row>
    <row r="174" spans="6:14" ht="15.75" x14ac:dyDescent="0.25">
      <c r="F174" s="59"/>
      <c r="G174" s="60"/>
      <c r="H174" s="60"/>
      <c r="I174" s="60"/>
      <c r="J174" s="60"/>
      <c r="K174" s="60"/>
      <c r="L174" s="60"/>
      <c r="M174" s="60"/>
      <c r="N174" s="60"/>
    </row>
    <row r="175" spans="6:14" ht="15.75" x14ac:dyDescent="0.25">
      <c r="F175" s="59"/>
      <c r="G175" s="60"/>
      <c r="H175" s="60"/>
      <c r="I175" s="60"/>
      <c r="J175" s="60"/>
      <c r="K175" s="60"/>
      <c r="L175" s="60"/>
      <c r="M175" s="60"/>
      <c r="N175" s="60"/>
    </row>
    <row r="176" spans="6:14" ht="15.75" x14ac:dyDescent="0.25">
      <c r="F176" s="59"/>
      <c r="G176" s="60"/>
      <c r="H176" s="60"/>
      <c r="I176" s="60"/>
      <c r="J176" s="60"/>
      <c r="K176" s="60"/>
      <c r="L176" s="60"/>
      <c r="M176" s="60"/>
      <c r="N176" s="60"/>
    </row>
    <row r="177" spans="6:14" ht="15.75" x14ac:dyDescent="0.25">
      <c r="F177" s="59"/>
      <c r="G177" s="60"/>
      <c r="H177" s="60"/>
      <c r="I177" s="60"/>
      <c r="J177" s="60"/>
      <c r="K177" s="60"/>
      <c r="L177" s="60"/>
      <c r="M177" s="60"/>
      <c r="N177" s="60"/>
    </row>
    <row r="178" spans="6:14" ht="15.75" x14ac:dyDescent="0.25">
      <c r="F178" s="59"/>
      <c r="G178" s="60"/>
      <c r="H178" s="60"/>
      <c r="I178" s="60"/>
      <c r="J178" s="60"/>
      <c r="K178" s="60"/>
      <c r="L178" s="60"/>
      <c r="M178" s="60"/>
      <c r="N178" s="60"/>
    </row>
    <row r="179" spans="6:14" ht="15.75" x14ac:dyDescent="0.25">
      <c r="F179" s="59"/>
      <c r="G179" s="60"/>
      <c r="H179" s="60"/>
      <c r="I179" s="60"/>
      <c r="J179" s="60"/>
      <c r="K179" s="60"/>
      <c r="L179" s="60"/>
      <c r="M179" s="60"/>
      <c r="N179" s="60"/>
    </row>
    <row r="180" spans="6:14" ht="15.75" x14ac:dyDescent="0.25">
      <c r="F180" s="59"/>
      <c r="G180" s="60"/>
      <c r="H180" s="60"/>
      <c r="I180" s="60"/>
      <c r="J180" s="60"/>
      <c r="K180" s="60"/>
      <c r="L180" s="60"/>
      <c r="M180" s="60"/>
      <c r="N180" s="60"/>
    </row>
    <row r="181" spans="6:14" ht="15.75" x14ac:dyDescent="0.25">
      <c r="F181" s="59"/>
      <c r="G181" s="60"/>
      <c r="H181" s="60"/>
      <c r="I181" s="60"/>
      <c r="J181" s="60"/>
      <c r="K181" s="60"/>
      <c r="L181" s="60"/>
      <c r="M181" s="60"/>
      <c r="N181" s="60"/>
    </row>
    <row r="182" spans="6:14" ht="15.75" x14ac:dyDescent="0.25">
      <c r="F182" s="59"/>
      <c r="G182" s="60"/>
      <c r="H182" s="60"/>
      <c r="I182" s="60"/>
      <c r="J182" s="60"/>
      <c r="K182" s="60"/>
      <c r="L182" s="60"/>
      <c r="M182" s="60"/>
      <c r="N182" s="60"/>
    </row>
    <row r="183" spans="6:14" ht="15.75" x14ac:dyDescent="0.25">
      <c r="F183" s="59"/>
      <c r="G183" s="60"/>
      <c r="H183" s="60"/>
      <c r="I183" s="60"/>
      <c r="J183" s="60"/>
      <c r="K183" s="60"/>
      <c r="L183" s="60"/>
      <c r="M183" s="60"/>
      <c r="N183" s="60"/>
    </row>
    <row r="184" spans="6:14" ht="15.75" x14ac:dyDescent="0.25">
      <c r="F184" s="59"/>
      <c r="G184" s="60"/>
      <c r="H184" s="60"/>
      <c r="I184" s="60"/>
      <c r="J184" s="60"/>
      <c r="K184" s="60"/>
      <c r="L184" s="60"/>
      <c r="M184" s="60"/>
      <c r="N184" s="60"/>
    </row>
    <row r="185" spans="6:14" ht="15.75" x14ac:dyDescent="0.25">
      <c r="F185" s="59"/>
      <c r="G185" s="60"/>
      <c r="H185" s="60"/>
      <c r="I185" s="60"/>
      <c r="J185" s="60"/>
      <c r="K185" s="60"/>
      <c r="L185" s="60"/>
      <c r="M185" s="60"/>
      <c r="N185" s="60"/>
    </row>
    <row r="186" spans="6:14" ht="15.75" x14ac:dyDescent="0.25">
      <c r="F186" s="59"/>
      <c r="G186" s="60"/>
      <c r="H186" s="60"/>
      <c r="I186" s="60"/>
      <c r="J186" s="60"/>
      <c r="K186" s="60"/>
      <c r="L186" s="60"/>
      <c r="M186" s="60"/>
      <c r="N186" s="60"/>
    </row>
    <row r="187" spans="6:14" ht="15.75" x14ac:dyDescent="0.25">
      <c r="F187" s="59"/>
      <c r="G187" s="60"/>
      <c r="H187" s="60"/>
      <c r="I187" s="60"/>
      <c r="J187" s="60"/>
      <c r="K187" s="60"/>
      <c r="L187" s="60"/>
      <c r="M187" s="60"/>
      <c r="N187" s="60"/>
    </row>
    <row r="188" spans="6:14" ht="15.75" x14ac:dyDescent="0.25">
      <c r="F188" s="59"/>
      <c r="G188" s="60"/>
      <c r="H188" s="60"/>
      <c r="I188" s="60"/>
      <c r="J188" s="60"/>
      <c r="K188" s="60"/>
      <c r="L188" s="60"/>
      <c r="M188" s="60"/>
      <c r="N188" s="60"/>
    </row>
    <row r="189" spans="6:14" ht="15.75" x14ac:dyDescent="0.25">
      <c r="F189" s="59"/>
      <c r="G189" s="60"/>
      <c r="H189" s="60"/>
      <c r="I189" s="60"/>
      <c r="J189" s="60"/>
      <c r="K189" s="60"/>
      <c r="L189" s="60"/>
      <c r="M189" s="60"/>
      <c r="N189" s="60"/>
    </row>
    <row r="190" spans="6:14" ht="15.75" x14ac:dyDescent="0.25">
      <c r="F190" s="59"/>
      <c r="G190" s="60"/>
      <c r="H190" s="60"/>
      <c r="I190" s="60"/>
      <c r="J190" s="60"/>
      <c r="K190" s="60"/>
      <c r="L190" s="60"/>
      <c r="M190" s="60"/>
      <c r="N190" s="60"/>
    </row>
    <row r="191" spans="6:14" ht="15.75" x14ac:dyDescent="0.25">
      <c r="F191" s="59"/>
      <c r="G191" s="60"/>
      <c r="H191" s="60"/>
      <c r="I191" s="60"/>
      <c r="J191" s="60"/>
      <c r="K191" s="60"/>
      <c r="L191" s="60"/>
      <c r="M191" s="60"/>
      <c r="N191" s="60"/>
    </row>
    <row r="192" spans="6:14" ht="15.75" x14ac:dyDescent="0.25">
      <c r="F192" s="59"/>
      <c r="G192" s="60"/>
      <c r="H192" s="60"/>
      <c r="I192" s="60"/>
      <c r="J192" s="60"/>
      <c r="K192" s="60"/>
      <c r="L192" s="60"/>
      <c r="M192" s="60"/>
      <c r="N192" s="60"/>
    </row>
    <row r="193" spans="6:14" ht="15.75" x14ac:dyDescent="0.25">
      <c r="F193" s="59"/>
      <c r="G193" s="60"/>
      <c r="H193" s="60"/>
      <c r="I193" s="60"/>
      <c r="J193" s="60"/>
      <c r="K193" s="60"/>
      <c r="L193" s="60"/>
      <c r="M193" s="60"/>
      <c r="N193" s="60"/>
    </row>
    <row r="194" spans="6:14" ht="15.75" x14ac:dyDescent="0.25">
      <c r="F194" s="59"/>
      <c r="G194" s="60"/>
      <c r="H194" s="60"/>
      <c r="I194" s="60"/>
      <c r="J194" s="60"/>
      <c r="K194" s="60"/>
      <c r="L194" s="60"/>
      <c r="M194" s="60"/>
      <c r="N194" s="60"/>
    </row>
    <row r="195" spans="6:14" ht="15.75" x14ac:dyDescent="0.25">
      <c r="F195" s="59"/>
      <c r="G195" s="60"/>
      <c r="H195" s="60"/>
      <c r="I195" s="60"/>
      <c r="J195" s="60"/>
      <c r="K195" s="60"/>
      <c r="L195" s="60"/>
      <c r="M195" s="60"/>
      <c r="N195" s="60"/>
    </row>
    <row r="196" spans="6:14" ht="15.75" x14ac:dyDescent="0.25">
      <c r="F196" s="59"/>
      <c r="G196" s="60"/>
      <c r="H196" s="60"/>
      <c r="I196" s="60"/>
      <c r="J196" s="60"/>
      <c r="K196" s="60"/>
      <c r="L196" s="60"/>
      <c r="M196" s="60"/>
      <c r="N196" s="60"/>
    </row>
    <row r="197" spans="6:14" ht="15.75" x14ac:dyDescent="0.25">
      <c r="F197" s="59"/>
      <c r="G197" s="60"/>
      <c r="H197" s="60"/>
      <c r="I197" s="60"/>
      <c r="J197" s="60"/>
      <c r="K197" s="60"/>
      <c r="L197" s="60"/>
      <c r="M197" s="60"/>
      <c r="N197" s="60"/>
    </row>
    <row r="198" spans="6:14" ht="15.75" x14ac:dyDescent="0.25">
      <c r="F198" s="59"/>
      <c r="G198" s="60"/>
      <c r="H198" s="60"/>
      <c r="I198" s="60"/>
      <c r="J198" s="60"/>
      <c r="K198" s="60"/>
      <c r="L198" s="60"/>
      <c r="M198" s="60"/>
      <c r="N198" s="60"/>
    </row>
    <row r="199" spans="6:14" ht="15.75" x14ac:dyDescent="0.25">
      <c r="F199" s="59"/>
      <c r="G199" s="60"/>
      <c r="H199" s="60"/>
      <c r="I199" s="60"/>
      <c r="J199" s="60"/>
      <c r="K199" s="60"/>
      <c r="L199" s="60"/>
      <c r="M199" s="60"/>
      <c r="N199" s="60"/>
    </row>
    <row r="200" spans="6:14" ht="15.75" x14ac:dyDescent="0.25">
      <c r="F200" s="59"/>
      <c r="G200" s="60"/>
      <c r="H200" s="60"/>
      <c r="I200" s="60"/>
      <c r="J200" s="60"/>
      <c r="K200" s="60"/>
      <c r="L200" s="60"/>
      <c r="M200" s="60"/>
      <c r="N200" s="60"/>
    </row>
    <row r="201" spans="6:14" ht="15.75" x14ac:dyDescent="0.25">
      <c r="F201" s="59"/>
      <c r="G201" s="60"/>
      <c r="H201" s="60"/>
      <c r="I201" s="60"/>
      <c r="J201" s="60"/>
      <c r="K201" s="60"/>
      <c r="L201" s="60"/>
      <c r="M201" s="60"/>
      <c r="N201" s="60"/>
    </row>
    <row r="202" spans="6:14" ht="15.75" x14ac:dyDescent="0.25">
      <c r="F202" s="59"/>
      <c r="G202" s="60"/>
      <c r="H202" s="60"/>
      <c r="I202" s="60"/>
      <c r="J202" s="60"/>
      <c r="K202" s="60"/>
      <c r="L202" s="60"/>
      <c r="M202" s="60"/>
      <c r="N202" s="60"/>
    </row>
    <row r="203" spans="6:14" ht="15.75" x14ac:dyDescent="0.25">
      <c r="F203" s="59"/>
      <c r="G203" s="60"/>
      <c r="H203" s="60"/>
      <c r="I203" s="60"/>
      <c r="J203" s="60"/>
      <c r="K203" s="60"/>
      <c r="L203" s="60"/>
      <c r="M203" s="60"/>
      <c r="N203" s="60"/>
    </row>
    <row r="204" spans="6:14" ht="15.75" x14ac:dyDescent="0.25">
      <c r="F204" s="59"/>
      <c r="G204" s="60"/>
      <c r="H204" s="60"/>
      <c r="I204" s="60"/>
      <c r="J204" s="60"/>
      <c r="K204" s="60"/>
      <c r="L204" s="60"/>
      <c r="M204" s="60"/>
      <c r="N204" s="60"/>
    </row>
    <row r="205" spans="6:14" ht="15.75" x14ac:dyDescent="0.25">
      <c r="F205" s="59"/>
      <c r="G205" s="60"/>
      <c r="H205" s="60"/>
      <c r="I205" s="60"/>
      <c r="J205" s="60"/>
      <c r="K205" s="60"/>
      <c r="L205" s="60"/>
      <c r="M205" s="60"/>
      <c r="N205" s="60"/>
    </row>
    <row r="206" spans="6:14" ht="15.75" x14ac:dyDescent="0.25">
      <c r="F206" s="59"/>
      <c r="G206" s="60"/>
      <c r="H206" s="60"/>
      <c r="I206" s="60"/>
      <c r="J206" s="60"/>
      <c r="K206" s="60"/>
      <c r="L206" s="60"/>
      <c r="M206" s="60"/>
      <c r="N206" s="60"/>
    </row>
    <row r="207" spans="6:14" ht="15.75" x14ac:dyDescent="0.25">
      <c r="F207" s="59"/>
      <c r="G207" s="60"/>
      <c r="H207" s="60"/>
      <c r="I207" s="60"/>
      <c r="J207" s="60"/>
      <c r="K207" s="60"/>
      <c r="L207" s="60"/>
      <c r="M207" s="60"/>
      <c r="N207" s="60"/>
    </row>
    <row r="208" spans="6:14" ht="15.75" x14ac:dyDescent="0.25">
      <c r="F208" s="59"/>
      <c r="G208" s="60"/>
      <c r="H208" s="60"/>
      <c r="I208" s="60"/>
      <c r="J208" s="60"/>
      <c r="K208" s="60"/>
      <c r="L208" s="60"/>
      <c r="M208" s="60"/>
      <c r="N208" s="60"/>
    </row>
    <row r="209" spans="6:14" ht="15.75" x14ac:dyDescent="0.25">
      <c r="F209" s="59"/>
      <c r="G209" s="60"/>
      <c r="H209" s="60"/>
      <c r="I209" s="60"/>
      <c r="J209" s="60"/>
      <c r="K209" s="60"/>
      <c r="L209" s="60"/>
      <c r="M209" s="60"/>
      <c r="N209" s="60"/>
    </row>
    <row r="210" spans="6:14" ht="15.75" x14ac:dyDescent="0.25">
      <c r="F210" s="59"/>
      <c r="G210" s="60"/>
      <c r="H210" s="60"/>
      <c r="I210" s="60"/>
      <c r="J210" s="60"/>
      <c r="K210" s="60"/>
      <c r="L210" s="60"/>
      <c r="M210" s="60"/>
      <c r="N210" s="60"/>
    </row>
    <row r="211" spans="6:14" ht="15.75" x14ac:dyDescent="0.25">
      <c r="F211" s="59"/>
      <c r="G211" s="60"/>
      <c r="H211" s="60"/>
      <c r="I211" s="60"/>
      <c r="J211" s="60"/>
      <c r="K211" s="60"/>
      <c r="L211" s="60"/>
      <c r="M211" s="60"/>
      <c r="N211" s="60"/>
    </row>
    <row r="212" spans="6:14" ht="15.75" x14ac:dyDescent="0.25">
      <c r="F212" s="59"/>
      <c r="G212" s="60"/>
      <c r="H212" s="60"/>
      <c r="I212" s="60"/>
      <c r="J212" s="60"/>
      <c r="K212" s="60"/>
      <c r="L212" s="60"/>
      <c r="M212" s="60"/>
      <c r="N212" s="60"/>
    </row>
    <row r="213" spans="6:14" ht="15.75" x14ac:dyDescent="0.25">
      <c r="F213" s="59"/>
      <c r="G213" s="60"/>
      <c r="H213" s="60"/>
      <c r="I213" s="60"/>
      <c r="J213" s="60"/>
      <c r="K213" s="60"/>
      <c r="L213" s="60"/>
      <c r="M213" s="60"/>
      <c r="N213" s="60"/>
    </row>
    <row r="214" spans="6:14" ht="15.75" x14ac:dyDescent="0.25">
      <c r="F214" s="59"/>
      <c r="G214" s="60"/>
      <c r="H214" s="60"/>
      <c r="I214" s="60"/>
      <c r="J214" s="60"/>
      <c r="K214" s="60"/>
      <c r="L214" s="60"/>
      <c r="M214" s="60"/>
      <c r="N214" s="60"/>
    </row>
    <row r="215" spans="6:14" ht="15.75" x14ac:dyDescent="0.25">
      <c r="F215" s="59"/>
      <c r="G215" s="60"/>
      <c r="H215" s="60"/>
      <c r="I215" s="60"/>
      <c r="J215" s="60"/>
      <c r="K215" s="60"/>
      <c r="L215" s="60"/>
      <c r="M215" s="60"/>
      <c r="N215" s="60"/>
    </row>
    <row r="216" spans="6:14" ht="15.75" x14ac:dyDescent="0.25">
      <c r="F216" s="59"/>
      <c r="G216" s="60"/>
      <c r="H216" s="60"/>
      <c r="I216" s="60"/>
      <c r="J216" s="60"/>
      <c r="K216" s="60"/>
      <c r="L216" s="60"/>
      <c r="M216" s="60"/>
      <c r="N216" s="60"/>
    </row>
    <row r="217" spans="6:14" ht="15.75" x14ac:dyDescent="0.25">
      <c r="F217" s="59"/>
      <c r="G217" s="60"/>
      <c r="H217" s="60"/>
      <c r="I217" s="60"/>
      <c r="J217" s="60"/>
      <c r="K217" s="60"/>
      <c r="L217" s="60"/>
      <c r="M217" s="60"/>
      <c r="N217" s="60"/>
    </row>
    <row r="218" spans="6:14" ht="15.75" x14ac:dyDescent="0.25">
      <c r="F218" s="59"/>
      <c r="G218" s="60"/>
      <c r="H218" s="60"/>
      <c r="I218" s="60"/>
      <c r="J218" s="60"/>
      <c r="K218" s="60"/>
      <c r="L218" s="60"/>
      <c r="M218" s="60"/>
      <c r="N218" s="60"/>
    </row>
    <row r="219" spans="6:14" ht="15.75" x14ac:dyDescent="0.25">
      <c r="F219" s="59"/>
      <c r="G219" s="60"/>
      <c r="H219" s="60"/>
      <c r="I219" s="60"/>
      <c r="J219" s="60"/>
      <c r="K219" s="60"/>
      <c r="L219" s="60"/>
      <c r="M219" s="60"/>
      <c r="N219" s="60"/>
    </row>
    <row r="220" spans="6:14" ht="15.75" x14ac:dyDescent="0.25">
      <c r="F220" s="59"/>
      <c r="G220" s="60"/>
      <c r="H220" s="60"/>
      <c r="I220" s="60"/>
      <c r="J220" s="60"/>
      <c r="K220" s="60"/>
      <c r="L220" s="60"/>
      <c r="M220" s="60"/>
      <c r="N220" s="60"/>
    </row>
    <row r="221" spans="6:14" ht="15.75" x14ac:dyDescent="0.25">
      <c r="F221" s="59"/>
      <c r="G221" s="60"/>
      <c r="H221" s="60"/>
      <c r="I221" s="60"/>
      <c r="J221" s="60"/>
      <c r="K221" s="60"/>
      <c r="L221" s="60"/>
      <c r="M221" s="60"/>
      <c r="N221" s="60"/>
    </row>
    <row r="222" spans="6:14" ht="15.75" x14ac:dyDescent="0.25">
      <c r="F222" s="59"/>
      <c r="G222" s="60"/>
      <c r="H222" s="60"/>
      <c r="I222" s="60"/>
      <c r="J222" s="60"/>
      <c r="K222" s="60"/>
      <c r="L222" s="60"/>
      <c r="M222" s="60"/>
      <c r="N222" s="60"/>
    </row>
    <row r="223" spans="6:14" ht="15.75" x14ac:dyDescent="0.25">
      <c r="F223" s="59"/>
      <c r="G223" s="60"/>
      <c r="H223" s="60"/>
      <c r="I223" s="60"/>
      <c r="J223" s="60"/>
      <c r="K223" s="60"/>
      <c r="L223" s="60"/>
      <c r="M223" s="60"/>
      <c r="N223" s="60"/>
    </row>
    <row r="224" spans="6:14" ht="15.75" x14ac:dyDescent="0.25">
      <c r="F224" s="59"/>
      <c r="G224" s="60"/>
      <c r="H224" s="60"/>
      <c r="I224" s="60"/>
      <c r="J224" s="60"/>
      <c r="K224" s="60"/>
      <c r="L224" s="60"/>
      <c r="M224" s="60"/>
      <c r="N224" s="60"/>
    </row>
    <row r="225" spans="6:14" ht="15.75" x14ac:dyDescent="0.25">
      <c r="F225" s="59"/>
      <c r="G225" s="60"/>
      <c r="H225" s="60"/>
      <c r="I225" s="60"/>
      <c r="J225" s="60"/>
      <c r="K225" s="60"/>
      <c r="L225" s="60"/>
      <c r="M225" s="60"/>
      <c r="N225" s="60"/>
    </row>
    <row r="226" spans="6:14" ht="15.75" x14ac:dyDescent="0.25">
      <c r="F226" s="59"/>
      <c r="G226" s="60"/>
      <c r="H226" s="60"/>
      <c r="I226" s="60"/>
      <c r="J226" s="60"/>
      <c r="K226" s="60"/>
      <c r="L226" s="60"/>
      <c r="M226" s="60"/>
      <c r="N226" s="60"/>
    </row>
    <row r="227" spans="6:14" ht="15.75" x14ac:dyDescent="0.25">
      <c r="F227" s="59"/>
      <c r="G227" s="60"/>
      <c r="H227" s="60"/>
      <c r="I227" s="60"/>
      <c r="J227" s="60"/>
      <c r="K227" s="60"/>
      <c r="L227" s="60"/>
      <c r="M227" s="60"/>
      <c r="N227" s="60"/>
    </row>
    <row r="228" spans="6:14" ht="15.75" x14ac:dyDescent="0.25">
      <c r="F228" s="59"/>
      <c r="G228" s="60"/>
      <c r="H228" s="60"/>
      <c r="I228" s="60"/>
      <c r="J228" s="60"/>
      <c r="K228" s="60"/>
      <c r="L228" s="60"/>
      <c r="M228" s="60"/>
      <c r="N228" s="60"/>
    </row>
    <row r="229" spans="6:14" ht="15.75" x14ac:dyDescent="0.25">
      <c r="F229" s="59"/>
      <c r="G229" s="60"/>
      <c r="H229" s="60"/>
      <c r="I229" s="60"/>
      <c r="J229" s="60"/>
      <c r="K229" s="60"/>
      <c r="L229" s="60"/>
      <c r="M229" s="60"/>
      <c r="N229" s="60"/>
    </row>
    <row r="230" spans="6:14" ht="15.75" x14ac:dyDescent="0.25">
      <c r="F230" s="59"/>
      <c r="G230" s="60"/>
      <c r="H230" s="60"/>
      <c r="I230" s="60"/>
      <c r="J230" s="60"/>
      <c r="K230" s="60"/>
      <c r="L230" s="60"/>
      <c r="M230" s="60"/>
      <c r="N230" s="60"/>
    </row>
    <row r="231" spans="6:14" ht="15.75" x14ac:dyDescent="0.25">
      <c r="F231" s="59"/>
      <c r="G231" s="60"/>
      <c r="H231" s="60"/>
      <c r="I231" s="60"/>
      <c r="J231" s="60"/>
      <c r="K231" s="60"/>
      <c r="L231" s="60"/>
      <c r="M231" s="60"/>
      <c r="N231" s="60"/>
    </row>
    <row r="232" spans="6:14" ht="15.75" x14ac:dyDescent="0.25">
      <c r="F232" s="59"/>
      <c r="G232" s="60"/>
      <c r="H232" s="60"/>
      <c r="I232" s="60"/>
      <c r="J232" s="60"/>
      <c r="K232" s="60"/>
      <c r="L232" s="60"/>
      <c r="M232" s="60"/>
      <c r="N232" s="60"/>
    </row>
    <row r="233" spans="6:14" ht="15.75" x14ac:dyDescent="0.25">
      <c r="F233" s="59"/>
      <c r="G233" s="60"/>
      <c r="H233" s="60"/>
      <c r="I233" s="60"/>
      <c r="J233" s="60"/>
      <c r="K233" s="60"/>
      <c r="L233" s="60"/>
      <c r="M233" s="60"/>
      <c r="N233" s="60"/>
    </row>
    <row r="234" spans="6:14" ht="15.75" x14ac:dyDescent="0.25">
      <c r="F234" s="59"/>
      <c r="G234" s="60"/>
      <c r="H234" s="60"/>
      <c r="I234" s="60"/>
      <c r="J234" s="60"/>
      <c r="K234" s="60"/>
      <c r="L234" s="60"/>
      <c r="M234" s="60"/>
      <c r="N234" s="60"/>
    </row>
    <row r="235" spans="6:14" ht="15.75" x14ac:dyDescent="0.25">
      <c r="F235" s="59"/>
      <c r="G235" s="60"/>
      <c r="H235" s="60"/>
      <c r="I235" s="60"/>
      <c r="J235" s="60"/>
      <c r="K235" s="60"/>
      <c r="L235" s="60"/>
      <c r="M235" s="60"/>
      <c r="N235" s="60"/>
    </row>
    <row r="236" spans="6:14" ht="15.75" x14ac:dyDescent="0.25">
      <c r="F236" s="59"/>
      <c r="G236" s="60"/>
      <c r="H236" s="60"/>
      <c r="I236" s="60"/>
      <c r="J236" s="60"/>
      <c r="K236" s="60"/>
      <c r="L236" s="60"/>
      <c r="M236" s="60"/>
      <c r="N236" s="60"/>
    </row>
    <row r="237" spans="6:14" ht="15.75" x14ac:dyDescent="0.25">
      <c r="F237" s="59"/>
      <c r="G237" s="60"/>
      <c r="H237" s="60"/>
      <c r="I237" s="60"/>
      <c r="J237" s="60"/>
      <c r="K237" s="60"/>
      <c r="L237" s="60"/>
      <c r="M237" s="60"/>
      <c r="N237" s="60"/>
    </row>
    <row r="238" spans="6:14" ht="15.75" x14ac:dyDescent="0.25">
      <c r="F238" s="59"/>
      <c r="G238" s="60"/>
      <c r="H238" s="60"/>
      <c r="I238" s="60"/>
      <c r="J238" s="60"/>
      <c r="K238" s="60"/>
      <c r="L238" s="60"/>
      <c r="M238" s="60"/>
      <c r="N238" s="60"/>
    </row>
    <row r="239" spans="6:14" ht="15.75" x14ac:dyDescent="0.25">
      <c r="F239" s="59"/>
      <c r="G239" s="60"/>
      <c r="H239" s="60"/>
      <c r="I239" s="60"/>
      <c r="J239" s="60"/>
      <c r="K239" s="60"/>
      <c r="L239" s="60"/>
      <c r="M239" s="60"/>
      <c r="N239" s="60"/>
    </row>
    <row r="240" spans="6:14" ht="15.75" x14ac:dyDescent="0.25">
      <c r="F240" s="59"/>
      <c r="G240" s="60"/>
      <c r="H240" s="60"/>
      <c r="I240" s="60"/>
      <c r="J240" s="60"/>
      <c r="K240" s="60"/>
      <c r="L240" s="60"/>
      <c r="M240" s="60"/>
      <c r="N240" s="60"/>
    </row>
    <row r="241" spans="6:14" ht="15.75" x14ac:dyDescent="0.25">
      <c r="F241" s="59"/>
      <c r="G241" s="60"/>
      <c r="H241" s="60"/>
      <c r="I241" s="60"/>
      <c r="J241" s="60"/>
      <c r="K241" s="60"/>
      <c r="L241" s="60"/>
      <c r="M241" s="60"/>
      <c r="N241" s="60"/>
    </row>
    <row r="242" spans="6:14" ht="15.75" x14ac:dyDescent="0.25">
      <c r="F242" s="59"/>
      <c r="G242" s="60"/>
      <c r="H242" s="60"/>
      <c r="I242" s="60"/>
      <c r="J242" s="60"/>
      <c r="K242" s="60"/>
      <c r="L242" s="60"/>
      <c r="M242" s="60"/>
      <c r="N242" s="60"/>
    </row>
    <row r="243" spans="6:14" ht="15.75" x14ac:dyDescent="0.25">
      <c r="F243" s="59"/>
      <c r="G243" s="60"/>
      <c r="H243" s="60"/>
      <c r="I243" s="60"/>
      <c r="J243" s="60"/>
      <c r="K243" s="60"/>
      <c r="L243" s="60"/>
      <c r="M243" s="60"/>
      <c r="N243" s="60"/>
    </row>
    <row r="244" spans="6:14" ht="15.75" x14ac:dyDescent="0.25">
      <c r="F244" s="59"/>
      <c r="G244" s="60"/>
      <c r="H244" s="60"/>
      <c r="I244" s="60"/>
      <c r="J244" s="60"/>
      <c r="K244" s="60"/>
      <c r="L244" s="60"/>
      <c r="M244" s="60"/>
      <c r="N244" s="60"/>
    </row>
    <row r="245" spans="6:14" ht="15.75" x14ac:dyDescent="0.25">
      <c r="F245" s="59"/>
      <c r="G245" s="60"/>
      <c r="H245" s="60"/>
      <c r="I245" s="60"/>
      <c r="J245" s="60"/>
      <c r="K245" s="60"/>
      <c r="L245" s="60"/>
      <c r="M245" s="60"/>
      <c r="N245" s="60"/>
    </row>
    <row r="246" spans="6:14" ht="15.75" x14ac:dyDescent="0.25">
      <c r="F246" s="59"/>
      <c r="G246" s="60"/>
      <c r="H246" s="60"/>
      <c r="I246" s="60"/>
      <c r="J246" s="60"/>
      <c r="K246" s="60"/>
      <c r="L246" s="60"/>
      <c r="M246" s="60"/>
      <c r="N246" s="60"/>
    </row>
    <row r="247" spans="6:14" ht="15.75" x14ac:dyDescent="0.25">
      <c r="F247" s="59"/>
      <c r="G247" s="60"/>
      <c r="H247" s="60"/>
      <c r="I247" s="60"/>
      <c r="J247" s="60"/>
      <c r="K247" s="60"/>
      <c r="L247" s="60"/>
      <c r="M247" s="60"/>
      <c r="N247" s="60"/>
    </row>
    <row r="248" spans="6:14" ht="15.75" x14ac:dyDescent="0.25">
      <c r="F248" s="59"/>
      <c r="G248" s="60"/>
      <c r="H248" s="60"/>
      <c r="I248" s="60"/>
      <c r="J248" s="60"/>
      <c r="K248" s="60"/>
      <c r="L248" s="60"/>
      <c r="M248" s="60"/>
      <c r="N248" s="60"/>
    </row>
    <row r="249" spans="6:14" ht="15.75" x14ac:dyDescent="0.25">
      <c r="F249" s="59"/>
      <c r="G249" s="60"/>
      <c r="H249" s="60"/>
      <c r="I249" s="60"/>
      <c r="J249" s="60"/>
      <c r="K249" s="60"/>
      <c r="L249" s="60"/>
      <c r="M249" s="60"/>
      <c r="N249" s="60"/>
    </row>
    <row r="250" spans="6:14" ht="15.75" x14ac:dyDescent="0.25">
      <c r="F250" s="59"/>
      <c r="G250" s="60"/>
      <c r="H250" s="60"/>
      <c r="I250" s="60"/>
      <c r="J250" s="60"/>
      <c r="K250" s="60"/>
      <c r="L250" s="60"/>
      <c r="M250" s="60"/>
      <c r="N250" s="60"/>
    </row>
    <row r="251" spans="6:14" ht="15.75" x14ac:dyDescent="0.25">
      <c r="F251" s="59"/>
      <c r="G251" s="60"/>
      <c r="H251" s="60"/>
      <c r="I251" s="60"/>
      <c r="J251" s="60"/>
      <c r="K251" s="60"/>
      <c r="L251" s="60"/>
      <c r="M251" s="60"/>
      <c r="N251" s="60"/>
    </row>
    <row r="252" spans="6:14" ht="15.75" x14ac:dyDescent="0.25">
      <c r="F252" s="59"/>
      <c r="G252" s="60"/>
      <c r="H252" s="60"/>
      <c r="I252" s="60"/>
      <c r="J252" s="60"/>
      <c r="K252" s="60"/>
      <c r="L252" s="60"/>
      <c r="M252" s="60"/>
      <c r="N252" s="60"/>
    </row>
    <row r="253" spans="6:14" ht="15.75" x14ac:dyDescent="0.25">
      <c r="F253" s="59"/>
      <c r="G253" s="60"/>
      <c r="H253" s="60"/>
      <c r="I253" s="60"/>
      <c r="J253" s="60"/>
      <c r="K253" s="60"/>
      <c r="L253" s="60"/>
      <c r="M253" s="60"/>
      <c r="N253" s="60"/>
    </row>
    <row r="254" spans="6:14" ht="15.75" x14ac:dyDescent="0.25">
      <c r="F254" s="59"/>
      <c r="G254" s="60"/>
      <c r="H254" s="60"/>
      <c r="I254" s="60"/>
      <c r="J254" s="60"/>
      <c r="K254" s="60"/>
      <c r="L254" s="60"/>
      <c r="M254" s="60"/>
      <c r="N254" s="60"/>
    </row>
    <row r="255" spans="6:14" ht="15.75" x14ac:dyDescent="0.25">
      <c r="F255" s="59"/>
      <c r="G255" s="60"/>
      <c r="H255" s="60"/>
      <c r="I255" s="60"/>
      <c r="J255" s="60"/>
      <c r="K255" s="60"/>
      <c r="L255" s="60"/>
      <c r="M255" s="60"/>
      <c r="N255" s="60"/>
    </row>
    <row r="256" spans="6:14" ht="15.75" x14ac:dyDescent="0.25">
      <c r="F256" s="59"/>
      <c r="G256" s="60"/>
      <c r="H256" s="60"/>
      <c r="I256" s="60"/>
      <c r="J256" s="60"/>
      <c r="K256" s="60"/>
      <c r="L256" s="60"/>
      <c r="M256" s="60"/>
      <c r="N256" s="60"/>
    </row>
    <row r="257" spans="6:14" ht="15.75" x14ac:dyDescent="0.25">
      <c r="F257" s="59"/>
      <c r="G257" s="60"/>
      <c r="H257" s="60"/>
      <c r="I257" s="60"/>
      <c r="J257" s="60"/>
      <c r="K257" s="60"/>
      <c r="L257" s="60"/>
      <c r="M257" s="60"/>
      <c r="N257" s="60"/>
    </row>
    <row r="258" spans="6:14" ht="15.75" x14ac:dyDescent="0.25">
      <c r="F258" s="59"/>
      <c r="G258" s="60"/>
      <c r="H258" s="60"/>
      <c r="I258" s="60"/>
      <c r="J258" s="60"/>
      <c r="K258" s="60"/>
      <c r="L258" s="60"/>
      <c r="M258" s="60"/>
      <c r="N258" s="60"/>
    </row>
    <row r="259" spans="6:14" ht="15.75" x14ac:dyDescent="0.25">
      <c r="F259" s="59"/>
      <c r="G259" s="60"/>
      <c r="H259" s="60"/>
      <c r="I259" s="60"/>
      <c r="J259" s="60"/>
      <c r="K259" s="60"/>
      <c r="L259" s="60"/>
      <c r="M259" s="60"/>
      <c r="N259" s="60"/>
    </row>
    <row r="260" spans="6:14" ht="15.75" x14ac:dyDescent="0.25">
      <c r="F260" s="59"/>
      <c r="G260" s="60"/>
      <c r="H260" s="60"/>
      <c r="I260" s="60"/>
      <c r="J260" s="60"/>
      <c r="K260" s="60"/>
      <c r="L260" s="60"/>
      <c r="M260" s="60"/>
      <c r="N260" s="60"/>
    </row>
    <row r="261" spans="6:14" ht="15.75" x14ac:dyDescent="0.25">
      <c r="F261" s="59"/>
      <c r="G261" s="60"/>
      <c r="H261" s="60"/>
      <c r="I261" s="60"/>
      <c r="J261" s="60"/>
      <c r="K261" s="60"/>
      <c r="L261" s="60"/>
      <c r="M261" s="60"/>
      <c r="N261" s="60"/>
    </row>
    <row r="262" spans="6:14" ht="15.75" x14ac:dyDescent="0.25">
      <c r="F262" s="59"/>
      <c r="G262" s="60"/>
      <c r="H262" s="60"/>
      <c r="I262" s="60"/>
      <c r="J262" s="60"/>
      <c r="K262" s="60"/>
      <c r="L262" s="60"/>
      <c r="M262" s="60"/>
      <c r="N262" s="60"/>
    </row>
    <row r="263" spans="6:14" ht="15.75" x14ac:dyDescent="0.25">
      <c r="F263" s="59"/>
      <c r="G263" s="60"/>
      <c r="H263" s="60"/>
      <c r="I263" s="60"/>
      <c r="J263" s="60"/>
      <c r="K263" s="60"/>
      <c r="L263" s="60"/>
      <c r="M263" s="60"/>
      <c r="N263" s="60"/>
    </row>
    <row r="264" spans="6:14" ht="15.75" x14ac:dyDescent="0.25">
      <c r="F264" s="59"/>
      <c r="G264" s="60"/>
      <c r="H264" s="60"/>
      <c r="I264" s="60"/>
      <c r="J264" s="60"/>
      <c r="K264" s="60"/>
      <c r="L264" s="60"/>
      <c r="M264" s="60"/>
      <c r="N264" s="60"/>
    </row>
    <row r="265" spans="6:14" ht="15.75" x14ac:dyDescent="0.25">
      <c r="F265" s="59"/>
      <c r="G265" s="60"/>
      <c r="H265" s="60"/>
      <c r="I265" s="60"/>
      <c r="J265" s="60"/>
      <c r="K265" s="60"/>
      <c r="L265" s="60"/>
      <c r="M265" s="60"/>
      <c r="N265" s="60"/>
    </row>
    <row r="266" spans="6:14" ht="15.75" x14ac:dyDescent="0.25">
      <c r="F266" s="59"/>
      <c r="G266" s="60"/>
      <c r="H266" s="60"/>
      <c r="I266" s="60"/>
      <c r="J266" s="60"/>
      <c r="K266" s="60"/>
      <c r="L266" s="60"/>
      <c r="M266" s="60"/>
      <c r="N266" s="60"/>
    </row>
    <row r="267" spans="6:14" ht="15.75" x14ac:dyDescent="0.25">
      <c r="F267" s="59"/>
      <c r="G267" s="60"/>
      <c r="H267" s="60"/>
      <c r="I267" s="60"/>
      <c r="J267" s="60"/>
      <c r="K267" s="60"/>
      <c r="L267" s="60"/>
      <c r="M267" s="60"/>
      <c r="N267" s="60"/>
    </row>
    <row r="268" spans="6:14" ht="15.75" x14ac:dyDescent="0.25">
      <c r="F268" s="59"/>
      <c r="G268" s="60"/>
      <c r="H268" s="60"/>
      <c r="I268" s="60"/>
      <c r="J268" s="60"/>
      <c r="K268" s="60"/>
      <c r="L268" s="60"/>
      <c r="M268" s="60"/>
      <c r="N268" s="60"/>
    </row>
    <row r="269" spans="6:14" ht="15.75" x14ac:dyDescent="0.25">
      <c r="F269" s="59"/>
      <c r="G269" s="60"/>
      <c r="H269" s="60"/>
      <c r="I269" s="60"/>
      <c r="J269" s="60"/>
      <c r="K269" s="60"/>
      <c r="L269" s="60"/>
      <c r="M269" s="60"/>
      <c r="N269" s="60"/>
    </row>
    <row r="270" spans="6:14" ht="15.75" x14ac:dyDescent="0.25">
      <c r="F270" s="59"/>
      <c r="G270" s="60"/>
      <c r="H270" s="60"/>
      <c r="I270" s="60"/>
      <c r="J270" s="60"/>
      <c r="K270" s="60"/>
      <c r="L270" s="60"/>
      <c r="M270" s="60"/>
      <c r="N270" s="60"/>
    </row>
    <row r="271" spans="6:14" ht="15.75" x14ac:dyDescent="0.25">
      <c r="F271" s="59"/>
      <c r="G271" s="60"/>
      <c r="H271" s="60"/>
      <c r="I271" s="60"/>
      <c r="J271" s="60"/>
      <c r="K271" s="60"/>
      <c r="L271" s="60"/>
      <c r="M271" s="60"/>
      <c r="N271" s="60"/>
    </row>
    <row r="272" spans="6:14" ht="15.75" x14ac:dyDescent="0.25">
      <c r="F272" s="59"/>
      <c r="G272" s="60"/>
      <c r="H272" s="60"/>
      <c r="I272" s="60"/>
      <c r="J272" s="60"/>
      <c r="K272" s="60"/>
      <c r="L272" s="60"/>
      <c r="M272" s="60"/>
      <c r="N272" s="60"/>
    </row>
    <row r="273" spans="6:14" ht="15.75" x14ac:dyDescent="0.25">
      <c r="F273" s="59"/>
      <c r="G273" s="60"/>
      <c r="H273" s="60"/>
      <c r="I273" s="60"/>
      <c r="J273" s="60"/>
      <c r="K273" s="60"/>
      <c r="L273" s="60"/>
      <c r="M273" s="60"/>
      <c r="N273" s="60"/>
    </row>
    <row r="274" spans="6:14" ht="15.75" x14ac:dyDescent="0.25">
      <c r="F274" s="59"/>
      <c r="G274" s="60"/>
      <c r="H274" s="60"/>
      <c r="I274" s="60"/>
      <c r="J274" s="60"/>
      <c r="K274" s="60"/>
      <c r="L274" s="60"/>
      <c r="M274" s="60"/>
      <c r="N274" s="60"/>
    </row>
    <row r="275" spans="6:14" ht="15.75" x14ac:dyDescent="0.25">
      <c r="F275" s="59"/>
      <c r="G275" s="60"/>
      <c r="H275" s="60"/>
      <c r="I275" s="60"/>
      <c r="J275" s="60"/>
      <c r="K275" s="60"/>
      <c r="L275" s="60"/>
      <c r="M275" s="60"/>
      <c r="N275" s="60"/>
    </row>
    <row r="276" spans="6:14" ht="15.75" x14ac:dyDescent="0.25">
      <c r="F276" s="59"/>
      <c r="G276" s="60"/>
      <c r="H276" s="60"/>
      <c r="I276" s="60"/>
      <c r="J276" s="60"/>
      <c r="K276" s="60"/>
      <c r="L276" s="60"/>
      <c r="M276" s="60"/>
      <c r="N276" s="60"/>
    </row>
    <row r="277" spans="6:14" ht="15.75" x14ac:dyDescent="0.25">
      <c r="F277" s="59"/>
      <c r="G277" s="60"/>
      <c r="H277" s="60"/>
      <c r="I277" s="60"/>
      <c r="J277" s="60"/>
      <c r="K277" s="60"/>
      <c r="L277" s="60"/>
      <c r="M277" s="60"/>
      <c r="N277" s="60"/>
    </row>
    <row r="278" spans="6:14" ht="15.75" x14ac:dyDescent="0.25">
      <c r="F278" s="59"/>
      <c r="G278" s="60"/>
      <c r="H278" s="60"/>
      <c r="I278" s="60"/>
      <c r="J278" s="60"/>
      <c r="K278" s="60"/>
      <c r="L278" s="60"/>
      <c r="M278" s="60"/>
      <c r="N278" s="60"/>
    </row>
    <row r="279" spans="6:14" ht="15.75" x14ac:dyDescent="0.25">
      <c r="F279" s="59"/>
      <c r="G279" s="60"/>
      <c r="H279" s="60"/>
      <c r="I279" s="60"/>
      <c r="J279" s="60"/>
      <c r="K279" s="60"/>
      <c r="L279" s="60"/>
      <c r="M279" s="60"/>
      <c r="N279" s="60"/>
    </row>
    <row r="280" spans="6:14" ht="15.75" x14ac:dyDescent="0.25">
      <c r="F280" s="59"/>
      <c r="G280" s="60"/>
      <c r="H280" s="60"/>
      <c r="I280" s="60"/>
      <c r="J280" s="60"/>
      <c r="K280" s="60"/>
      <c r="L280" s="60"/>
      <c r="M280" s="60"/>
      <c r="N280" s="60"/>
    </row>
    <row r="281" spans="6:14" ht="15.75" x14ac:dyDescent="0.25">
      <c r="F281" s="59"/>
      <c r="G281" s="60"/>
      <c r="H281" s="60"/>
      <c r="I281" s="60"/>
      <c r="J281" s="60"/>
      <c r="K281" s="60"/>
      <c r="L281" s="60"/>
      <c r="M281" s="60"/>
      <c r="N281" s="60"/>
    </row>
    <row r="282" spans="6:14" ht="15.75" x14ac:dyDescent="0.25">
      <c r="F282" s="59"/>
      <c r="G282" s="60"/>
      <c r="H282" s="60"/>
      <c r="I282" s="60"/>
      <c r="J282" s="60"/>
      <c r="K282" s="60"/>
      <c r="L282" s="60"/>
      <c r="M282" s="60"/>
      <c r="N282" s="60"/>
    </row>
    <row r="283" spans="6:14" ht="15.75" x14ac:dyDescent="0.25">
      <c r="F283" s="59"/>
      <c r="G283" s="60"/>
      <c r="H283" s="60"/>
      <c r="I283" s="60"/>
      <c r="J283" s="60"/>
      <c r="K283" s="60"/>
      <c r="L283" s="60"/>
      <c r="M283" s="60"/>
      <c r="N283" s="60"/>
    </row>
    <row r="284" spans="6:14" ht="15.75" x14ac:dyDescent="0.25">
      <c r="F284" s="59"/>
      <c r="G284" s="60"/>
      <c r="H284" s="60"/>
      <c r="I284" s="60"/>
      <c r="J284" s="60"/>
      <c r="K284" s="60"/>
      <c r="L284" s="60"/>
      <c r="M284" s="60"/>
      <c r="N284" s="60"/>
    </row>
    <row r="285" spans="6:14" ht="15.75" x14ac:dyDescent="0.25">
      <c r="F285" s="59"/>
      <c r="G285" s="60"/>
      <c r="H285" s="60"/>
      <c r="I285" s="60"/>
      <c r="J285" s="60"/>
      <c r="K285" s="60"/>
      <c r="L285" s="60"/>
      <c r="M285" s="60"/>
      <c r="N285" s="60"/>
    </row>
    <row r="286" spans="6:14" ht="15.75" x14ac:dyDescent="0.25">
      <c r="F286" s="59"/>
      <c r="G286" s="60"/>
      <c r="H286" s="60"/>
      <c r="I286" s="60"/>
      <c r="J286" s="60"/>
      <c r="K286" s="60"/>
      <c r="L286" s="60"/>
      <c r="M286" s="60"/>
      <c r="N286" s="60"/>
    </row>
    <row r="287" spans="6:14" ht="15.75" x14ac:dyDescent="0.25">
      <c r="F287" s="59"/>
      <c r="G287" s="60"/>
      <c r="H287" s="60"/>
      <c r="I287" s="60"/>
      <c r="J287" s="60"/>
      <c r="K287" s="60"/>
      <c r="L287" s="60"/>
      <c r="M287" s="60"/>
      <c r="N287" s="60"/>
    </row>
    <row r="288" spans="6:14" ht="15.75" x14ac:dyDescent="0.25">
      <c r="F288" s="59"/>
      <c r="G288" s="60"/>
      <c r="H288" s="60"/>
      <c r="I288" s="60"/>
      <c r="J288" s="60"/>
      <c r="K288" s="60"/>
      <c r="L288" s="60"/>
      <c r="M288" s="60"/>
      <c r="N288" s="60"/>
    </row>
    <row r="289" spans="6:14" ht="15.75" x14ac:dyDescent="0.25">
      <c r="F289" s="59"/>
      <c r="G289" s="60"/>
      <c r="H289" s="60"/>
      <c r="I289" s="60"/>
      <c r="J289" s="60"/>
      <c r="K289" s="60"/>
      <c r="L289" s="60"/>
      <c r="M289" s="60"/>
      <c r="N289" s="60"/>
    </row>
    <row r="290" spans="6:14" ht="15.75" x14ac:dyDescent="0.25">
      <c r="F290" s="59"/>
      <c r="G290" s="60"/>
      <c r="H290" s="60"/>
      <c r="I290" s="60"/>
      <c r="J290" s="60"/>
      <c r="K290" s="60"/>
      <c r="L290" s="60"/>
      <c r="M290" s="60"/>
      <c r="N290" s="60"/>
    </row>
    <row r="291" spans="6:14" ht="15.75" x14ac:dyDescent="0.25">
      <c r="F291" s="59"/>
      <c r="G291" s="60"/>
      <c r="H291" s="60"/>
      <c r="I291" s="60"/>
      <c r="J291" s="60"/>
      <c r="K291" s="60"/>
      <c r="L291" s="60"/>
      <c r="M291" s="60"/>
      <c r="N291" s="60"/>
    </row>
    <row r="292" spans="6:14" ht="15.75" x14ac:dyDescent="0.25">
      <c r="F292" s="59"/>
      <c r="G292" s="60"/>
      <c r="H292" s="60"/>
      <c r="I292" s="60"/>
      <c r="J292" s="60"/>
      <c r="K292" s="60"/>
      <c r="L292" s="60"/>
      <c r="M292" s="60"/>
      <c r="N292" s="60"/>
    </row>
    <row r="293" spans="6:14" ht="15.75" x14ac:dyDescent="0.25">
      <c r="F293" s="59"/>
      <c r="G293" s="60"/>
      <c r="H293" s="60"/>
      <c r="I293" s="60"/>
      <c r="J293" s="60"/>
      <c r="K293" s="60"/>
      <c r="L293" s="60"/>
      <c r="M293" s="60"/>
      <c r="N293" s="60"/>
    </row>
    <row r="294" spans="6:14" ht="15.75" x14ac:dyDescent="0.25">
      <c r="F294" s="59"/>
      <c r="G294" s="60"/>
      <c r="H294" s="60"/>
      <c r="I294" s="60"/>
      <c r="J294" s="60"/>
      <c r="K294" s="60"/>
      <c r="L294" s="60"/>
      <c r="M294" s="60"/>
      <c r="N294" s="60"/>
    </row>
    <row r="295" spans="6:14" ht="15.75" x14ac:dyDescent="0.25">
      <c r="F295" s="59"/>
      <c r="G295" s="60"/>
      <c r="H295" s="60"/>
      <c r="I295" s="60"/>
      <c r="J295" s="60"/>
      <c r="K295" s="60"/>
      <c r="L295" s="60"/>
      <c r="M295" s="60"/>
      <c r="N295" s="60"/>
    </row>
    <row r="296" spans="6:14" ht="15.75" x14ac:dyDescent="0.25">
      <c r="F296" s="59"/>
      <c r="G296" s="60"/>
      <c r="H296" s="60"/>
      <c r="I296" s="60"/>
      <c r="J296" s="60"/>
      <c r="K296" s="60"/>
      <c r="L296" s="60"/>
      <c r="M296" s="60"/>
      <c r="N296" s="60"/>
    </row>
    <row r="297" spans="6:14" ht="15.75" x14ac:dyDescent="0.25">
      <c r="F297" s="59"/>
      <c r="G297" s="60"/>
      <c r="H297" s="60"/>
      <c r="I297" s="60"/>
      <c r="J297" s="60"/>
      <c r="K297" s="60"/>
      <c r="L297" s="60"/>
      <c r="M297" s="60"/>
      <c r="N297" s="60"/>
    </row>
    <row r="298" spans="6:14" ht="15.75" x14ac:dyDescent="0.25">
      <c r="F298" s="59"/>
      <c r="G298" s="60"/>
      <c r="H298" s="60"/>
      <c r="I298" s="60"/>
      <c r="J298" s="60"/>
      <c r="K298" s="60"/>
      <c r="L298" s="60"/>
      <c r="M298" s="60"/>
      <c r="N298" s="60"/>
    </row>
    <row r="299" spans="6:14" ht="15.75" x14ac:dyDescent="0.25">
      <c r="F299" s="59"/>
      <c r="G299" s="60"/>
      <c r="H299" s="60"/>
      <c r="I299" s="60"/>
      <c r="J299" s="60"/>
      <c r="K299" s="60"/>
      <c r="L299" s="60"/>
      <c r="M299" s="60"/>
      <c r="N299" s="60"/>
    </row>
    <row r="300" spans="6:14" ht="15.75" x14ac:dyDescent="0.25">
      <c r="F300" s="59"/>
      <c r="G300" s="60"/>
      <c r="H300" s="60"/>
      <c r="I300" s="60"/>
      <c r="J300" s="60"/>
      <c r="K300" s="60"/>
      <c r="L300" s="60"/>
      <c r="M300" s="60"/>
      <c r="N300" s="60"/>
    </row>
    <row r="301" spans="6:14" ht="15.75" x14ac:dyDescent="0.25">
      <c r="F301" s="59"/>
      <c r="G301" s="60"/>
      <c r="H301" s="60"/>
      <c r="I301" s="60"/>
      <c r="J301" s="60"/>
      <c r="K301" s="60"/>
      <c r="L301" s="60"/>
      <c r="M301" s="60"/>
      <c r="N301" s="60"/>
    </row>
    <row r="302" spans="6:14" ht="15.75" x14ac:dyDescent="0.25">
      <c r="F302" s="59"/>
      <c r="G302" s="60"/>
      <c r="H302" s="60"/>
      <c r="I302" s="60"/>
      <c r="J302" s="60"/>
      <c r="K302" s="60"/>
      <c r="L302" s="60"/>
      <c r="M302" s="60"/>
      <c r="N302" s="60"/>
    </row>
    <row r="303" spans="6:14" ht="15.75" x14ac:dyDescent="0.25">
      <c r="F303" s="59"/>
      <c r="G303" s="60"/>
      <c r="H303" s="60"/>
      <c r="I303" s="60"/>
      <c r="J303" s="60"/>
      <c r="K303" s="60"/>
      <c r="L303" s="60"/>
      <c r="M303" s="60"/>
      <c r="N303" s="60"/>
    </row>
    <row r="304" spans="6:14" ht="15.75" x14ac:dyDescent="0.25">
      <c r="F304" s="59"/>
      <c r="G304" s="60"/>
      <c r="H304" s="60"/>
      <c r="I304" s="60"/>
      <c r="J304" s="60"/>
      <c r="K304" s="60"/>
      <c r="L304" s="60"/>
      <c r="M304" s="60"/>
      <c r="N304" s="60"/>
    </row>
    <row r="305" spans="6:14" ht="15.75" x14ac:dyDescent="0.25">
      <c r="F305" s="59"/>
      <c r="G305" s="60"/>
      <c r="H305" s="60"/>
      <c r="I305" s="60"/>
      <c r="J305" s="60"/>
      <c r="K305" s="60"/>
      <c r="L305" s="60"/>
      <c r="M305" s="60"/>
      <c r="N305" s="60"/>
    </row>
    <row r="306" spans="6:14" ht="15.75" x14ac:dyDescent="0.25">
      <c r="F306" s="59"/>
      <c r="G306" s="60"/>
      <c r="H306" s="60"/>
      <c r="I306" s="60"/>
      <c r="J306" s="60"/>
      <c r="K306" s="60"/>
      <c r="L306" s="60"/>
      <c r="M306" s="60"/>
      <c r="N306" s="60"/>
    </row>
    <row r="307" spans="6:14" ht="15.75" x14ac:dyDescent="0.25">
      <c r="F307" s="59"/>
      <c r="G307" s="60"/>
      <c r="H307" s="60"/>
      <c r="I307" s="60"/>
      <c r="J307" s="60"/>
      <c r="K307" s="60"/>
      <c r="L307" s="60"/>
      <c r="M307" s="60"/>
      <c r="N307" s="60"/>
    </row>
    <row r="308" spans="6:14" ht="15.75" x14ac:dyDescent="0.25">
      <c r="F308" s="59"/>
      <c r="G308" s="60"/>
      <c r="H308" s="60"/>
      <c r="I308" s="60"/>
      <c r="J308" s="60"/>
      <c r="K308" s="60"/>
      <c r="L308" s="60"/>
      <c r="M308" s="60"/>
      <c r="N308" s="60"/>
    </row>
    <row r="309" spans="6:14" ht="15.75" x14ac:dyDescent="0.25">
      <c r="F309" s="59"/>
      <c r="G309" s="60"/>
      <c r="H309" s="60"/>
      <c r="I309" s="60"/>
      <c r="J309" s="60"/>
      <c r="K309" s="60"/>
      <c r="L309" s="60"/>
      <c r="M309" s="60"/>
      <c r="N309" s="60"/>
    </row>
    <row r="310" spans="6:14" ht="15.75" x14ac:dyDescent="0.25">
      <c r="F310" s="59"/>
      <c r="G310" s="60"/>
      <c r="H310" s="60"/>
      <c r="I310" s="60"/>
      <c r="J310" s="60"/>
      <c r="K310" s="60"/>
      <c r="L310" s="60"/>
      <c r="M310" s="60"/>
      <c r="N310" s="60"/>
    </row>
    <row r="311" spans="6:14" ht="15.75" x14ac:dyDescent="0.25">
      <c r="F311" s="59"/>
      <c r="G311" s="60"/>
      <c r="H311" s="60"/>
      <c r="I311" s="60"/>
      <c r="J311" s="60"/>
      <c r="K311" s="60"/>
      <c r="L311" s="60"/>
      <c r="M311" s="60"/>
      <c r="N311" s="60"/>
    </row>
    <row r="312" spans="6:14" ht="15.75" x14ac:dyDescent="0.25">
      <c r="F312" s="59"/>
      <c r="G312" s="60"/>
      <c r="H312" s="60"/>
      <c r="I312" s="60"/>
      <c r="J312" s="60"/>
      <c r="K312" s="60"/>
      <c r="L312" s="60"/>
      <c r="M312" s="60"/>
      <c r="N312" s="60"/>
    </row>
    <row r="313" spans="6:14" ht="15.75" x14ac:dyDescent="0.25">
      <c r="F313" s="59"/>
      <c r="G313" s="60"/>
      <c r="H313" s="60"/>
      <c r="I313" s="60"/>
      <c r="J313" s="60"/>
      <c r="K313" s="60"/>
      <c r="L313" s="60"/>
      <c r="M313" s="60"/>
      <c r="N313" s="60"/>
    </row>
    <row r="314" spans="6:14" ht="15.75" x14ac:dyDescent="0.25">
      <c r="F314" s="59"/>
      <c r="G314" s="60"/>
      <c r="H314" s="60"/>
      <c r="I314" s="60"/>
      <c r="J314" s="60"/>
      <c r="K314" s="60"/>
      <c r="L314" s="60"/>
      <c r="M314" s="60"/>
      <c r="N314" s="60"/>
    </row>
    <row r="315" spans="6:14" ht="15.75" x14ac:dyDescent="0.25">
      <c r="F315" s="59"/>
      <c r="G315" s="60"/>
      <c r="H315" s="60"/>
      <c r="I315" s="60"/>
      <c r="J315" s="60"/>
      <c r="K315" s="60"/>
      <c r="L315" s="60"/>
      <c r="M315" s="60"/>
      <c r="N315" s="60"/>
    </row>
    <row r="316" spans="6:14" ht="15.75" x14ac:dyDescent="0.25">
      <c r="F316" s="59"/>
      <c r="G316" s="60"/>
      <c r="H316" s="60"/>
      <c r="I316" s="60"/>
      <c r="J316" s="60"/>
      <c r="K316" s="60"/>
      <c r="L316" s="60"/>
      <c r="M316" s="60"/>
      <c r="N316" s="60"/>
    </row>
    <row r="317" spans="6:14" ht="15.75" x14ac:dyDescent="0.25">
      <c r="F317" s="59"/>
      <c r="G317" s="60"/>
      <c r="H317" s="60"/>
      <c r="I317" s="60"/>
      <c r="J317" s="60"/>
      <c r="K317" s="60"/>
      <c r="L317" s="60"/>
      <c r="M317" s="60"/>
      <c r="N317" s="60"/>
    </row>
    <row r="318" spans="6:14" ht="15.75" x14ac:dyDescent="0.25">
      <c r="F318" s="59"/>
      <c r="G318" s="60"/>
      <c r="H318" s="60"/>
      <c r="I318" s="60"/>
      <c r="J318" s="60"/>
      <c r="K318" s="60"/>
      <c r="L318" s="60"/>
      <c r="M318" s="60"/>
      <c r="N318" s="60"/>
    </row>
    <row r="319" spans="6:14" ht="15.75" x14ac:dyDescent="0.25">
      <c r="F319" s="59"/>
      <c r="G319" s="60"/>
      <c r="H319" s="60"/>
      <c r="I319" s="60"/>
      <c r="J319" s="60"/>
      <c r="K319" s="60"/>
      <c r="L319" s="60"/>
      <c r="M319" s="60"/>
      <c r="N319" s="60"/>
    </row>
    <row r="320" spans="6:14" ht="15.75" x14ac:dyDescent="0.25">
      <c r="F320" s="59"/>
      <c r="G320" s="60"/>
      <c r="H320" s="60"/>
      <c r="I320" s="60"/>
      <c r="J320" s="60"/>
      <c r="K320" s="60"/>
      <c r="L320" s="60"/>
      <c r="M320" s="60"/>
      <c r="N320" s="60"/>
    </row>
    <row r="321" spans="6:14" ht="15.75" x14ac:dyDescent="0.25">
      <c r="F321" s="59"/>
      <c r="G321" s="60"/>
      <c r="H321" s="60"/>
      <c r="I321" s="60"/>
      <c r="J321" s="60"/>
      <c r="K321" s="60"/>
      <c r="L321" s="60"/>
      <c r="M321" s="60"/>
      <c r="N321" s="60"/>
    </row>
    <row r="322" spans="6:14" ht="15.75" x14ac:dyDescent="0.25">
      <c r="F322" s="59"/>
      <c r="G322" s="60"/>
      <c r="H322" s="60"/>
      <c r="I322" s="60"/>
      <c r="J322" s="60"/>
      <c r="K322" s="60"/>
      <c r="L322" s="60"/>
      <c r="M322" s="60"/>
      <c r="N322" s="60"/>
    </row>
    <row r="323" spans="6:14" ht="15.75" x14ac:dyDescent="0.25">
      <c r="F323" s="59"/>
      <c r="G323" s="60"/>
      <c r="H323" s="60"/>
      <c r="I323" s="60"/>
      <c r="J323" s="60"/>
      <c r="K323" s="60"/>
      <c r="L323" s="60"/>
      <c r="M323" s="60"/>
      <c r="N323" s="60"/>
    </row>
    <row r="324" spans="6:14" ht="15.75" x14ac:dyDescent="0.25">
      <c r="F324" s="59"/>
      <c r="G324" s="60"/>
      <c r="H324" s="60"/>
      <c r="I324" s="60"/>
      <c r="J324" s="60"/>
      <c r="K324" s="60"/>
      <c r="L324" s="60"/>
      <c r="M324" s="60"/>
      <c r="N324" s="60"/>
    </row>
    <row r="325" spans="6:14" ht="15.75" x14ac:dyDescent="0.25">
      <c r="F325" s="59"/>
      <c r="G325" s="60"/>
      <c r="H325" s="60"/>
      <c r="I325" s="60"/>
      <c r="J325" s="60"/>
      <c r="K325" s="60"/>
      <c r="L325" s="60"/>
      <c r="M325" s="60"/>
      <c r="N325" s="60"/>
    </row>
    <row r="326" spans="6:14" ht="15.75" x14ac:dyDescent="0.25">
      <c r="F326" s="59"/>
      <c r="G326" s="60"/>
      <c r="H326" s="60"/>
      <c r="I326" s="60"/>
      <c r="J326" s="60"/>
      <c r="K326" s="60"/>
      <c r="L326" s="60"/>
      <c r="M326" s="60"/>
      <c r="N326" s="60"/>
    </row>
    <row r="327" spans="6:14" ht="15.75" x14ac:dyDescent="0.25">
      <c r="F327" s="59"/>
      <c r="G327" s="60"/>
      <c r="H327" s="60"/>
      <c r="I327" s="60"/>
      <c r="J327" s="60"/>
      <c r="K327" s="60"/>
      <c r="L327" s="60"/>
      <c r="M327" s="60"/>
      <c r="N327" s="60"/>
    </row>
    <row r="328" spans="6:14" ht="15.75" x14ac:dyDescent="0.25">
      <c r="F328" s="59"/>
      <c r="G328" s="60"/>
      <c r="H328" s="60"/>
      <c r="I328" s="60"/>
      <c r="J328" s="60"/>
      <c r="K328" s="60"/>
      <c r="L328" s="60"/>
      <c r="M328" s="60"/>
      <c r="N328" s="60"/>
    </row>
    <row r="329" spans="6:14" ht="15.75" x14ac:dyDescent="0.25">
      <c r="F329" s="59"/>
      <c r="G329" s="60"/>
      <c r="H329" s="60"/>
      <c r="I329" s="60"/>
      <c r="J329" s="60"/>
      <c r="K329" s="60"/>
      <c r="L329" s="60"/>
      <c r="M329" s="60"/>
      <c r="N329" s="60"/>
    </row>
    <row r="330" spans="6:14" ht="15.75" x14ac:dyDescent="0.25">
      <c r="F330" s="59"/>
      <c r="G330" s="60"/>
      <c r="H330" s="60"/>
      <c r="I330" s="60"/>
      <c r="J330" s="60"/>
      <c r="K330" s="60"/>
      <c r="L330" s="60"/>
      <c r="M330" s="60"/>
      <c r="N330" s="60"/>
    </row>
    <row r="331" spans="6:14" ht="15.75" x14ac:dyDescent="0.25">
      <c r="F331" s="59"/>
      <c r="G331" s="60"/>
      <c r="H331" s="60"/>
      <c r="I331" s="60"/>
      <c r="J331" s="60"/>
      <c r="K331" s="60"/>
      <c r="L331" s="60"/>
      <c r="M331" s="60"/>
      <c r="N331" s="60"/>
    </row>
    <row r="332" spans="6:14" ht="15.75" x14ac:dyDescent="0.25">
      <c r="F332" s="59"/>
      <c r="G332" s="60"/>
      <c r="H332" s="60"/>
      <c r="I332" s="60"/>
      <c r="J332" s="60"/>
      <c r="K332" s="60"/>
      <c r="L332" s="60"/>
      <c r="M332" s="60"/>
      <c r="N332" s="60"/>
    </row>
    <row r="333" spans="6:14" ht="15.75" x14ac:dyDescent="0.25">
      <c r="F333" s="59"/>
      <c r="G333" s="60"/>
      <c r="H333" s="60"/>
      <c r="I333" s="60"/>
      <c r="J333" s="60"/>
      <c r="K333" s="60"/>
      <c r="L333" s="60"/>
      <c r="M333" s="60"/>
      <c r="N333" s="60"/>
    </row>
    <row r="334" spans="6:14" ht="15.75" x14ac:dyDescent="0.25">
      <c r="F334" s="59"/>
      <c r="G334" s="60"/>
      <c r="H334" s="60"/>
      <c r="I334" s="60"/>
      <c r="J334" s="60"/>
      <c r="K334" s="60"/>
      <c r="L334" s="60"/>
      <c r="M334" s="60"/>
      <c r="N334" s="60"/>
    </row>
    <row r="335" spans="6:14" ht="15.75" x14ac:dyDescent="0.25">
      <c r="F335" s="59"/>
      <c r="G335" s="60"/>
      <c r="H335" s="60"/>
      <c r="I335" s="60"/>
      <c r="J335" s="60"/>
      <c r="K335" s="60"/>
      <c r="L335" s="60"/>
      <c r="M335" s="60"/>
      <c r="N335" s="60"/>
    </row>
    <row r="336" spans="6:14" ht="15.75" x14ac:dyDescent="0.25">
      <c r="F336" s="59"/>
      <c r="G336" s="60"/>
      <c r="H336" s="60"/>
      <c r="I336" s="60"/>
      <c r="J336" s="60"/>
      <c r="K336" s="60"/>
      <c r="L336" s="60"/>
      <c r="M336" s="60"/>
      <c r="N336" s="60"/>
    </row>
    <row r="337" spans="6:14" ht="15.75" x14ac:dyDescent="0.25">
      <c r="F337" s="59"/>
      <c r="G337" s="60"/>
      <c r="H337" s="60"/>
      <c r="I337" s="60"/>
      <c r="J337" s="60"/>
      <c r="K337" s="60"/>
      <c r="L337" s="60"/>
      <c r="M337" s="60"/>
      <c r="N337" s="60"/>
    </row>
    <row r="338" spans="6:14" ht="15.75" x14ac:dyDescent="0.25">
      <c r="F338" s="59"/>
      <c r="G338" s="60"/>
      <c r="H338" s="60"/>
      <c r="I338" s="60"/>
      <c r="J338" s="60"/>
      <c r="K338" s="60"/>
      <c r="L338" s="60"/>
      <c r="M338" s="60"/>
      <c r="N338" s="60"/>
    </row>
    <row r="339" spans="6:14" ht="15.75" x14ac:dyDescent="0.25">
      <c r="F339" s="59"/>
      <c r="G339" s="60"/>
      <c r="H339" s="60"/>
      <c r="I339" s="60"/>
      <c r="J339" s="60"/>
      <c r="K339" s="60"/>
      <c r="L339" s="60"/>
      <c r="M339" s="60"/>
      <c r="N339" s="60"/>
    </row>
    <row r="340" spans="6:14" ht="15.75" x14ac:dyDescent="0.25">
      <c r="F340" s="59"/>
      <c r="G340" s="60"/>
      <c r="H340" s="60"/>
      <c r="I340" s="60"/>
      <c r="J340" s="60"/>
      <c r="K340" s="60"/>
      <c r="L340" s="60"/>
      <c r="M340" s="60"/>
      <c r="N340" s="60"/>
    </row>
    <row r="341" spans="6:14" ht="15.75" x14ac:dyDescent="0.25">
      <c r="F341" s="59"/>
      <c r="G341" s="60"/>
      <c r="H341" s="60"/>
      <c r="I341" s="60"/>
      <c r="J341" s="60"/>
      <c r="K341" s="60"/>
      <c r="L341" s="60"/>
      <c r="M341" s="60"/>
      <c r="N341" s="60"/>
    </row>
    <row r="342" spans="6:14" ht="15.75" x14ac:dyDescent="0.25">
      <c r="F342" s="59"/>
      <c r="G342" s="60"/>
      <c r="H342" s="60"/>
      <c r="I342" s="60"/>
      <c r="J342" s="60"/>
      <c r="K342" s="60"/>
      <c r="L342" s="60"/>
      <c r="M342" s="60"/>
      <c r="N342" s="60"/>
    </row>
    <row r="343" spans="6:14" ht="15.75" x14ac:dyDescent="0.25">
      <c r="F343" s="59"/>
      <c r="G343" s="60"/>
      <c r="H343" s="60"/>
      <c r="I343" s="60"/>
      <c r="J343" s="60"/>
      <c r="K343" s="60"/>
      <c r="L343" s="60"/>
      <c r="M343" s="60"/>
      <c r="N343" s="60"/>
    </row>
    <row r="344" spans="6:14" ht="15.75" x14ac:dyDescent="0.25">
      <c r="F344" s="59"/>
      <c r="G344" s="60"/>
      <c r="H344" s="60"/>
      <c r="I344" s="60"/>
      <c r="J344" s="60"/>
      <c r="K344" s="60"/>
      <c r="L344" s="60"/>
      <c r="M344" s="60"/>
      <c r="N344" s="60"/>
    </row>
    <row r="345" spans="6:14" ht="15.75" x14ac:dyDescent="0.25">
      <c r="F345" s="59"/>
      <c r="G345" s="60"/>
      <c r="H345" s="60"/>
      <c r="I345" s="60"/>
      <c r="J345" s="60"/>
      <c r="K345" s="60"/>
      <c r="L345" s="60"/>
      <c r="M345" s="60"/>
      <c r="N345" s="60"/>
    </row>
    <row r="346" spans="6:14" ht="15.75" x14ac:dyDescent="0.25">
      <c r="F346" s="59"/>
      <c r="G346" s="60"/>
      <c r="H346" s="60"/>
      <c r="I346" s="60"/>
      <c r="J346" s="60"/>
      <c r="K346" s="60"/>
      <c r="L346" s="60"/>
      <c r="M346" s="60"/>
      <c r="N346" s="60"/>
    </row>
    <row r="347" spans="6:14" ht="15.75" x14ac:dyDescent="0.25">
      <c r="F347" s="59"/>
      <c r="G347" s="60"/>
      <c r="H347" s="60"/>
      <c r="I347" s="60"/>
      <c r="J347" s="60"/>
      <c r="K347" s="60"/>
      <c r="L347" s="60"/>
      <c r="M347" s="60"/>
      <c r="N347" s="60"/>
    </row>
    <row r="348" spans="6:14" ht="15.75" x14ac:dyDescent="0.25">
      <c r="F348" s="59"/>
      <c r="G348" s="60"/>
      <c r="H348" s="60"/>
      <c r="I348" s="60"/>
      <c r="J348" s="60"/>
      <c r="K348" s="60"/>
      <c r="L348" s="60"/>
      <c r="M348" s="60"/>
      <c r="N348" s="60"/>
    </row>
    <row r="349" spans="6:14" ht="15.75" x14ac:dyDescent="0.25">
      <c r="F349" s="59"/>
      <c r="G349" s="60"/>
      <c r="H349" s="60"/>
      <c r="I349" s="60"/>
      <c r="J349" s="60"/>
      <c r="K349" s="60"/>
      <c r="L349" s="60"/>
      <c r="M349" s="60"/>
      <c r="N349" s="60"/>
    </row>
    <row r="350" spans="6:14" ht="15.75" x14ac:dyDescent="0.25">
      <c r="F350" s="59"/>
      <c r="G350" s="60"/>
      <c r="H350" s="60"/>
      <c r="I350" s="60"/>
      <c r="J350" s="60"/>
      <c r="K350" s="60"/>
      <c r="L350" s="60"/>
      <c r="M350" s="60"/>
      <c r="N350" s="60"/>
    </row>
    <row r="351" spans="6:14" ht="15.75" x14ac:dyDescent="0.25">
      <c r="F351" s="59"/>
      <c r="G351" s="60"/>
      <c r="H351" s="60"/>
      <c r="I351" s="60"/>
      <c r="J351" s="60"/>
      <c r="K351" s="60"/>
      <c r="L351" s="60"/>
      <c r="M351" s="60"/>
      <c r="N351" s="60"/>
    </row>
    <row r="352" spans="6:14" ht="15.75" x14ac:dyDescent="0.25">
      <c r="F352" s="59"/>
      <c r="G352" s="60"/>
      <c r="H352" s="60"/>
      <c r="I352" s="60"/>
      <c r="J352" s="60"/>
      <c r="K352" s="60"/>
      <c r="L352" s="60"/>
      <c r="M352" s="60"/>
      <c r="N352" s="60"/>
    </row>
    <row r="353" spans="6:14" ht="15.75" x14ac:dyDescent="0.25">
      <c r="F353" s="59"/>
      <c r="G353" s="60"/>
      <c r="H353" s="60"/>
      <c r="I353" s="60"/>
      <c r="J353" s="60"/>
      <c r="K353" s="60"/>
      <c r="L353" s="60"/>
      <c r="M353" s="60"/>
      <c r="N353" s="60"/>
    </row>
    <row r="354" spans="6:14" ht="15.75" x14ac:dyDescent="0.25">
      <c r="F354" s="59"/>
      <c r="G354" s="60"/>
      <c r="H354" s="60"/>
      <c r="I354" s="60"/>
      <c r="J354" s="60"/>
      <c r="K354" s="60"/>
      <c r="L354" s="60"/>
      <c r="M354" s="60"/>
      <c r="N354" s="60"/>
    </row>
    <row r="355" spans="6:14" ht="15.75" x14ac:dyDescent="0.25">
      <c r="F355" s="59"/>
      <c r="G355" s="60"/>
      <c r="H355" s="60"/>
      <c r="I355" s="60"/>
      <c r="J355" s="60"/>
      <c r="K355" s="60"/>
      <c r="L355" s="60"/>
      <c r="M355" s="60"/>
      <c r="N355" s="60"/>
    </row>
    <row r="356" spans="6:14" ht="15.75" x14ac:dyDescent="0.25">
      <c r="F356" s="59"/>
      <c r="G356" s="60"/>
      <c r="H356" s="60"/>
      <c r="I356" s="60"/>
      <c r="J356" s="60"/>
      <c r="K356" s="60"/>
      <c r="L356" s="60"/>
      <c r="M356" s="60"/>
      <c r="N356" s="60"/>
    </row>
    <row r="357" spans="6:14" ht="15.75" x14ac:dyDescent="0.25">
      <c r="F357" s="59"/>
      <c r="G357" s="60"/>
      <c r="H357" s="60"/>
      <c r="I357" s="60"/>
      <c r="J357" s="60"/>
      <c r="K357" s="60"/>
      <c r="L357" s="60"/>
      <c r="M357" s="60"/>
      <c r="N357" s="60"/>
    </row>
    <row r="358" spans="6:14" ht="15.75" x14ac:dyDescent="0.25">
      <c r="F358" s="59"/>
      <c r="G358" s="60"/>
      <c r="H358" s="60"/>
      <c r="I358" s="60"/>
      <c r="J358" s="60"/>
      <c r="K358" s="60"/>
      <c r="L358" s="60"/>
      <c r="M358" s="60"/>
      <c r="N358" s="60"/>
    </row>
    <row r="359" spans="6:14" ht="15.75" x14ac:dyDescent="0.25">
      <c r="F359" s="59"/>
      <c r="G359" s="60"/>
      <c r="H359" s="60"/>
      <c r="I359" s="60"/>
      <c r="J359" s="60"/>
      <c r="K359" s="60"/>
      <c r="L359" s="60"/>
      <c r="M359" s="60"/>
      <c r="N359" s="60"/>
    </row>
    <row r="360" spans="6:14" ht="15.75" x14ac:dyDescent="0.25">
      <c r="F360" s="59"/>
      <c r="G360" s="60"/>
      <c r="H360" s="60"/>
      <c r="I360" s="60"/>
      <c r="J360" s="60"/>
      <c r="K360" s="60"/>
      <c r="L360" s="60"/>
      <c r="M360" s="60"/>
      <c r="N360" s="60"/>
    </row>
    <row r="361" spans="6:14" ht="15.75" x14ac:dyDescent="0.25">
      <c r="F361" s="59"/>
      <c r="G361" s="60"/>
      <c r="H361" s="60"/>
      <c r="I361" s="60"/>
      <c r="J361" s="60"/>
      <c r="K361" s="60"/>
      <c r="L361" s="60"/>
      <c r="M361" s="60"/>
      <c r="N361" s="60"/>
    </row>
    <row r="362" spans="6:14" ht="15.75" x14ac:dyDescent="0.25">
      <c r="F362" s="59"/>
      <c r="G362" s="60"/>
      <c r="H362" s="60"/>
      <c r="I362" s="60"/>
      <c r="J362" s="60"/>
      <c r="K362" s="60"/>
      <c r="L362" s="60"/>
      <c r="M362" s="60"/>
      <c r="N362" s="60"/>
    </row>
    <row r="363" spans="6:14" ht="15.75" x14ac:dyDescent="0.25">
      <c r="F363" s="59"/>
      <c r="G363" s="60"/>
      <c r="H363" s="60"/>
      <c r="I363" s="60"/>
      <c r="J363" s="60"/>
      <c r="K363" s="60"/>
      <c r="L363" s="60"/>
      <c r="M363" s="60"/>
      <c r="N363" s="60"/>
    </row>
    <row r="364" spans="6:14" ht="15.75" x14ac:dyDescent="0.25">
      <c r="F364" s="59"/>
      <c r="G364" s="60"/>
      <c r="H364" s="60"/>
      <c r="I364" s="60"/>
      <c r="J364" s="60"/>
      <c r="K364" s="60"/>
      <c r="L364" s="60"/>
      <c r="M364" s="60"/>
      <c r="N364" s="60"/>
    </row>
    <row r="365" spans="6:14" ht="15.75" x14ac:dyDescent="0.25">
      <c r="F365" s="59"/>
      <c r="G365" s="60"/>
      <c r="H365" s="60"/>
      <c r="I365" s="60"/>
      <c r="J365" s="60"/>
      <c r="K365" s="60"/>
      <c r="L365" s="60"/>
      <c r="M365" s="60"/>
      <c r="N365" s="60"/>
    </row>
    <row r="366" spans="6:14" ht="15.75" x14ac:dyDescent="0.25">
      <c r="F366" s="59"/>
      <c r="G366" s="60"/>
      <c r="H366" s="60"/>
      <c r="I366" s="60"/>
      <c r="J366" s="60"/>
      <c r="K366" s="60"/>
      <c r="L366" s="60"/>
      <c r="M366" s="60"/>
      <c r="N366" s="60"/>
    </row>
    <row r="367" spans="6:14" ht="15.75" x14ac:dyDescent="0.25">
      <c r="F367" s="59"/>
      <c r="G367" s="60"/>
      <c r="H367" s="60"/>
      <c r="I367" s="60"/>
      <c r="J367" s="60"/>
      <c r="K367" s="60"/>
      <c r="L367" s="60"/>
      <c r="M367" s="60"/>
      <c r="N367" s="60"/>
    </row>
    <row r="368" spans="6:14" ht="15.75" x14ac:dyDescent="0.25">
      <c r="F368" s="59"/>
      <c r="G368" s="60"/>
      <c r="H368" s="60"/>
      <c r="I368" s="60"/>
      <c r="J368" s="60"/>
      <c r="K368" s="60"/>
      <c r="L368" s="60"/>
      <c r="M368" s="60"/>
      <c r="N368" s="60"/>
    </row>
    <row r="369" spans="6:14" ht="15.75" x14ac:dyDescent="0.25">
      <c r="F369" s="59"/>
      <c r="G369" s="60"/>
      <c r="H369" s="60"/>
      <c r="I369" s="60"/>
      <c r="J369" s="60"/>
      <c r="K369" s="60"/>
      <c r="L369" s="60"/>
      <c r="M369" s="60"/>
      <c r="N369" s="60"/>
    </row>
    <row r="370" spans="6:14" ht="15.75" x14ac:dyDescent="0.25">
      <c r="F370" s="59"/>
      <c r="G370" s="60"/>
      <c r="H370" s="60"/>
      <c r="I370" s="60"/>
      <c r="J370" s="60"/>
      <c r="K370" s="60"/>
      <c r="L370" s="60"/>
      <c r="M370" s="60"/>
      <c r="N370" s="60"/>
    </row>
    <row r="371" spans="6:14" ht="15.75" x14ac:dyDescent="0.25">
      <c r="F371" s="59"/>
      <c r="G371" s="60"/>
      <c r="H371" s="60"/>
      <c r="I371" s="60"/>
      <c r="J371" s="60"/>
      <c r="K371" s="60"/>
      <c r="L371" s="60"/>
      <c r="M371" s="60"/>
      <c r="N371" s="60"/>
    </row>
    <row r="372" spans="6:14" ht="15.75" x14ac:dyDescent="0.25">
      <c r="F372" s="59"/>
      <c r="G372" s="60"/>
      <c r="H372" s="60"/>
      <c r="I372" s="60"/>
      <c r="J372" s="60"/>
      <c r="K372" s="60"/>
      <c r="L372" s="60"/>
      <c r="M372" s="60"/>
      <c r="N372" s="60"/>
    </row>
    <row r="373" spans="6:14" ht="15.75" x14ac:dyDescent="0.25">
      <c r="F373" s="59"/>
      <c r="G373" s="60"/>
      <c r="H373" s="60"/>
      <c r="I373" s="60"/>
      <c r="J373" s="60"/>
      <c r="K373" s="60"/>
      <c r="L373" s="60"/>
      <c r="M373" s="60"/>
      <c r="N373" s="60"/>
    </row>
    <row r="374" spans="6:14" ht="15.75" x14ac:dyDescent="0.25">
      <c r="F374" s="59"/>
      <c r="G374" s="60"/>
      <c r="H374" s="60"/>
      <c r="I374" s="60"/>
      <c r="J374" s="60"/>
      <c r="K374" s="60"/>
      <c r="L374" s="60"/>
      <c r="M374" s="60"/>
      <c r="N374" s="60"/>
    </row>
    <row r="375" spans="6:14" ht="15.75" x14ac:dyDescent="0.25">
      <c r="F375" s="59"/>
      <c r="G375" s="60"/>
      <c r="H375" s="60"/>
      <c r="I375" s="60"/>
      <c r="J375" s="60"/>
      <c r="K375" s="60"/>
      <c r="L375" s="60"/>
      <c r="M375" s="60"/>
      <c r="N375" s="60"/>
    </row>
    <row r="376" spans="6:14" ht="15.75" x14ac:dyDescent="0.25">
      <c r="F376" s="59"/>
      <c r="G376" s="60"/>
      <c r="H376" s="60"/>
      <c r="I376" s="60"/>
      <c r="J376" s="60"/>
      <c r="K376" s="60"/>
      <c r="L376" s="60"/>
      <c r="M376" s="60"/>
      <c r="N376" s="60"/>
    </row>
    <row r="377" spans="6:14" ht="15.75" x14ac:dyDescent="0.25">
      <c r="F377" s="59"/>
      <c r="G377" s="60"/>
      <c r="H377" s="60"/>
      <c r="I377" s="60"/>
      <c r="J377" s="60"/>
      <c r="K377" s="60"/>
      <c r="L377" s="60"/>
      <c r="M377" s="60"/>
      <c r="N377" s="60"/>
    </row>
    <row r="378" spans="6:14" ht="15.75" x14ac:dyDescent="0.25">
      <c r="F378" s="59"/>
      <c r="G378" s="60"/>
      <c r="H378" s="60"/>
      <c r="I378" s="60"/>
      <c r="J378" s="60"/>
      <c r="K378" s="60"/>
      <c r="L378" s="60"/>
      <c r="M378" s="60"/>
      <c r="N378" s="60"/>
    </row>
    <row r="379" spans="6:14" ht="15.75" x14ac:dyDescent="0.25">
      <c r="F379" s="59"/>
      <c r="G379" s="60"/>
      <c r="H379" s="60"/>
      <c r="I379" s="60"/>
      <c r="J379" s="60"/>
      <c r="K379" s="60"/>
      <c r="L379" s="60"/>
      <c r="M379" s="60"/>
      <c r="N379" s="60"/>
    </row>
    <row r="380" spans="6:14" ht="15.75" x14ac:dyDescent="0.25">
      <c r="F380" s="59"/>
      <c r="G380" s="60"/>
      <c r="H380" s="60"/>
      <c r="I380" s="60"/>
      <c r="J380" s="60"/>
      <c r="K380" s="60"/>
      <c r="L380" s="60"/>
      <c r="M380" s="60"/>
      <c r="N380" s="60"/>
    </row>
    <row r="381" spans="6:14" ht="15.75" x14ac:dyDescent="0.25">
      <c r="F381" s="59"/>
      <c r="G381" s="60"/>
      <c r="H381" s="60"/>
      <c r="I381" s="60"/>
      <c r="J381" s="60"/>
      <c r="K381" s="60"/>
      <c r="L381" s="60"/>
      <c r="M381" s="60"/>
      <c r="N381" s="60"/>
    </row>
    <row r="382" spans="6:14" ht="15.75" x14ac:dyDescent="0.25">
      <c r="F382" s="59"/>
      <c r="G382" s="60"/>
      <c r="H382" s="60"/>
      <c r="I382" s="60"/>
      <c r="J382" s="60"/>
      <c r="K382" s="60"/>
      <c r="L382" s="60"/>
      <c r="M382" s="60"/>
      <c r="N382" s="60"/>
    </row>
    <row r="383" spans="6:14" ht="15.75" x14ac:dyDescent="0.25">
      <c r="F383" s="59"/>
      <c r="G383" s="60"/>
      <c r="H383" s="60"/>
      <c r="I383" s="60"/>
      <c r="J383" s="60"/>
      <c r="K383" s="60"/>
      <c r="L383" s="60"/>
      <c r="M383" s="60"/>
      <c r="N383" s="60"/>
    </row>
    <row r="384" spans="6:14" ht="15.75" x14ac:dyDescent="0.25">
      <c r="F384" s="59"/>
      <c r="G384" s="60"/>
      <c r="H384" s="60"/>
      <c r="I384" s="60"/>
      <c r="J384" s="60"/>
      <c r="K384" s="60"/>
      <c r="L384" s="60"/>
      <c r="M384" s="60"/>
      <c r="N384" s="60"/>
    </row>
    <row r="385" spans="6:14" ht="15.75" x14ac:dyDescent="0.25">
      <c r="F385" s="59"/>
      <c r="G385" s="60"/>
      <c r="H385" s="60"/>
      <c r="I385" s="60"/>
      <c r="J385" s="60"/>
      <c r="K385" s="60"/>
      <c r="L385" s="60"/>
      <c r="M385" s="60"/>
      <c r="N385" s="60"/>
    </row>
    <row r="386" spans="6:14" ht="15.75" x14ac:dyDescent="0.25">
      <c r="F386" s="59"/>
      <c r="G386" s="60"/>
      <c r="H386" s="60"/>
      <c r="I386" s="60"/>
      <c r="J386" s="60"/>
      <c r="K386" s="60"/>
      <c r="L386" s="60"/>
      <c r="M386" s="60"/>
      <c r="N386" s="60"/>
    </row>
    <row r="387" spans="6:14" ht="15.75" x14ac:dyDescent="0.25">
      <c r="F387" s="59"/>
      <c r="G387" s="60"/>
      <c r="H387" s="60"/>
      <c r="I387" s="60"/>
      <c r="J387" s="60"/>
      <c r="K387" s="60"/>
      <c r="L387" s="60"/>
      <c r="M387" s="60"/>
      <c r="N387" s="60"/>
    </row>
    <row r="388" spans="6:14" ht="15.75" x14ac:dyDescent="0.25">
      <c r="F388" s="59"/>
      <c r="G388" s="60"/>
      <c r="H388" s="60"/>
      <c r="I388" s="60"/>
      <c r="J388" s="60"/>
      <c r="K388" s="60"/>
      <c r="L388" s="60"/>
      <c r="M388" s="60"/>
      <c r="N388" s="60"/>
    </row>
    <row r="389" spans="6:14" ht="15.75" x14ac:dyDescent="0.25">
      <c r="F389" s="59"/>
      <c r="G389" s="60"/>
      <c r="H389" s="60"/>
      <c r="I389" s="60"/>
      <c r="J389" s="60"/>
      <c r="K389" s="60"/>
      <c r="L389" s="60"/>
      <c r="M389" s="60"/>
      <c r="N389" s="60"/>
    </row>
    <row r="390" spans="6:14" ht="15.75" x14ac:dyDescent="0.25">
      <c r="F390" s="59"/>
      <c r="G390" s="60"/>
      <c r="H390" s="60"/>
      <c r="I390" s="60"/>
      <c r="J390" s="60"/>
      <c r="K390" s="60"/>
      <c r="L390" s="60"/>
      <c r="M390" s="60"/>
      <c r="N390" s="60"/>
    </row>
    <row r="391" spans="6:14" ht="15.75" x14ac:dyDescent="0.25">
      <c r="F391" s="59"/>
      <c r="G391" s="60"/>
      <c r="H391" s="60"/>
      <c r="I391" s="60"/>
      <c r="J391" s="60"/>
      <c r="K391" s="60"/>
      <c r="L391" s="60"/>
      <c r="M391" s="60"/>
      <c r="N391" s="60"/>
    </row>
    <row r="392" spans="6:14" ht="15.75" x14ac:dyDescent="0.25">
      <c r="F392" s="59"/>
      <c r="G392" s="60"/>
      <c r="H392" s="60"/>
      <c r="I392" s="60"/>
      <c r="J392" s="60"/>
      <c r="K392" s="60"/>
      <c r="L392" s="60"/>
      <c r="M392" s="60"/>
      <c r="N392" s="60"/>
    </row>
    <row r="393" spans="6:14" ht="15.75" x14ac:dyDescent="0.25">
      <c r="F393" s="59"/>
      <c r="G393" s="60"/>
      <c r="H393" s="60"/>
      <c r="I393" s="60"/>
      <c r="J393" s="60"/>
      <c r="K393" s="60"/>
      <c r="L393" s="60"/>
      <c r="M393" s="60"/>
      <c r="N393" s="60"/>
    </row>
    <row r="394" spans="6:14" ht="15.75" x14ac:dyDescent="0.25">
      <c r="F394" s="59"/>
      <c r="G394" s="60"/>
      <c r="H394" s="60"/>
      <c r="I394" s="60"/>
      <c r="J394" s="60"/>
      <c r="K394" s="60"/>
      <c r="L394" s="60"/>
      <c r="M394" s="60"/>
      <c r="N394" s="60"/>
    </row>
    <row r="395" spans="6:14" ht="15.75" x14ac:dyDescent="0.25">
      <c r="F395" s="59"/>
      <c r="G395" s="60"/>
      <c r="H395" s="60"/>
      <c r="I395" s="60"/>
      <c r="J395" s="60"/>
      <c r="K395" s="60"/>
      <c r="L395" s="60"/>
      <c r="M395" s="60"/>
      <c r="N395" s="60"/>
    </row>
    <row r="396" spans="6:14" ht="15.75" x14ac:dyDescent="0.25">
      <c r="F396" s="59"/>
      <c r="G396" s="60"/>
      <c r="H396" s="60"/>
      <c r="I396" s="60"/>
      <c r="J396" s="60"/>
      <c r="K396" s="60"/>
      <c r="L396" s="60"/>
      <c r="M396" s="60"/>
      <c r="N396" s="60"/>
    </row>
    <row r="397" spans="6:14" ht="15.75" x14ac:dyDescent="0.25">
      <c r="F397" s="59"/>
      <c r="G397" s="60"/>
      <c r="H397" s="60"/>
      <c r="I397" s="60"/>
      <c r="J397" s="60"/>
      <c r="K397" s="60"/>
      <c r="L397" s="60"/>
      <c r="M397" s="60"/>
      <c r="N397" s="60"/>
    </row>
    <row r="398" spans="6:14" ht="15.75" x14ac:dyDescent="0.25">
      <c r="F398" s="59"/>
      <c r="G398" s="60"/>
      <c r="H398" s="60"/>
      <c r="I398" s="60"/>
      <c r="J398" s="60"/>
      <c r="K398" s="60"/>
      <c r="L398" s="60"/>
      <c r="M398" s="60"/>
      <c r="N398" s="60"/>
    </row>
    <row r="399" spans="6:14" ht="15.75" x14ac:dyDescent="0.25">
      <c r="F399" s="59"/>
      <c r="G399" s="60"/>
      <c r="H399" s="60"/>
      <c r="I399" s="60"/>
      <c r="J399" s="60"/>
      <c r="K399" s="60"/>
      <c r="L399" s="60"/>
      <c r="M399" s="60"/>
      <c r="N399" s="60"/>
    </row>
    <row r="400" spans="6:14" ht="15.75" x14ac:dyDescent="0.25">
      <c r="F400" s="59"/>
      <c r="G400" s="60"/>
      <c r="H400" s="60"/>
      <c r="I400" s="60"/>
      <c r="J400" s="60"/>
      <c r="K400" s="60"/>
      <c r="L400" s="60"/>
      <c r="M400" s="60"/>
      <c r="N400" s="60"/>
    </row>
    <row r="401" spans="6:14" ht="15.75" x14ac:dyDescent="0.25">
      <c r="F401" s="59"/>
      <c r="G401" s="60"/>
      <c r="H401" s="60"/>
      <c r="I401" s="60"/>
      <c r="J401" s="60"/>
      <c r="K401" s="60"/>
      <c r="L401" s="60"/>
      <c r="M401" s="60"/>
      <c r="N401" s="60"/>
    </row>
    <row r="402" spans="6:14" ht="15.75" x14ac:dyDescent="0.25">
      <c r="F402" s="59"/>
      <c r="G402" s="60"/>
      <c r="H402" s="60"/>
      <c r="I402" s="60"/>
      <c r="J402" s="60"/>
      <c r="K402" s="60"/>
      <c r="L402" s="60"/>
      <c r="M402" s="60"/>
      <c r="N402" s="60"/>
    </row>
    <row r="403" spans="6:14" ht="15.75" x14ac:dyDescent="0.25">
      <c r="F403" s="59"/>
      <c r="G403" s="60"/>
      <c r="H403" s="60"/>
      <c r="I403" s="60"/>
      <c r="J403" s="60"/>
      <c r="K403" s="60"/>
      <c r="L403" s="60"/>
      <c r="M403" s="60"/>
      <c r="N403" s="60"/>
    </row>
    <row r="404" spans="6:14" ht="15.75" x14ac:dyDescent="0.25">
      <c r="F404" s="59"/>
      <c r="G404" s="60"/>
      <c r="H404" s="60"/>
      <c r="I404" s="60"/>
      <c r="J404" s="60"/>
      <c r="K404" s="60"/>
      <c r="L404" s="60"/>
      <c r="M404" s="60"/>
      <c r="N404" s="60"/>
    </row>
    <row r="405" spans="6:14" ht="15.75" x14ac:dyDescent="0.25">
      <c r="F405" s="59"/>
      <c r="G405" s="60"/>
      <c r="H405" s="60"/>
      <c r="I405" s="60"/>
      <c r="J405" s="60"/>
      <c r="K405" s="60"/>
      <c r="L405" s="60"/>
      <c r="M405" s="60"/>
      <c r="N405" s="60"/>
    </row>
    <row r="406" spans="6:14" ht="15.75" x14ac:dyDescent="0.25">
      <c r="F406" s="59"/>
      <c r="G406" s="60"/>
      <c r="H406" s="60"/>
      <c r="I406" s="60"/>
      <c r="J406" s="60"/>
      <c r="K406" s="60"/>
      <c r="L406" s="60"/>
      <c r="M406" s="60"/>
      <c r="N406" s="60"/>
    </row>
    <row r="407" spans="6:14" ht="15.75" x14ac:dyDescent="0.25">
      <c r="F407" s="59"/>
      <c r="G407" s="60"/>
      <c r="H407" s="60"/>
      <c r="I407" s="60"/>
      <c r="J407" s="60"/>
      <c r="K407" s="60"/>
      <c r="L407" s="60"/>
      <c r="M407" s="60"/>
      <c r="N407" s="60"/>
    </row>
    <row r="408" spans="6:14" ht="15.75" x14ac:dyDescent="0.25">
      <c r="F408" s="59"/>
      <c r="G408" s="60"/>
      <c r="H408" s="60"/>
      <c r="I408" s="60"/>
      <c r="J408" s="60"/>
      <c r="K408" s="60"/>
      <c r="L408" s="60"/>
      <c r="M408" s="60"/>
      <c r="N408" s="60"/>
    </row>
    <row r="409" spans="6:14" ht="15.75" x14ac:dyDescent="0.25">
      <c r="F409" s="59"/>
      <c r="G409" s="60"/>
      <c r="H409" s="60"/>
      <c r="I409" s="60"/>
      <c r="J409" s="60"/>
      <c r="K409" s="60"/>
      <c r="L409" s="60"/>
      <c r="M409" s="60"/>
      <c r="N409" s="60"/>
    </row>
    <row r="410" spans="6:14" ht="15.75" x14ac:dyDescent="0.25">
      <c r="F410" s="59"/>
      <c r="G410" s="60"/>
      <c r="H410" s="60"/>
      <c r="I410" s="60"/>
      <c r="J410" s="60"/>
      <c r="K410" s="60"/>
      <c r="L410" s="60"/>
      <c r="M410" s="60"/>
      <c r="N410" s="60"/>
    </row>
    <row r="411" spans="6:14" ht="15.75" x14ac:dyDescent="0.25">
      <c r="F411" s="59"/>
      <c r="G411" s="60"/>
      <c r="H411" s="60"/>
      <c r="I411" s="60"/>
      <c r="J411" s="60"/>
      <c r="K411" s="60"/>
      <c r="L411" s="60"/>
      <c r="M411" s="60"/>
      <c r="N411" s="60"/>
    </row>
    <row r="412" spans="6:14" ht="15.75" x14ac:dyDescent="0.25">
      <c r="F412" s="59"/>
      <c r="G412" s="60"/>
      <c r="H412" s="60"/>
      <c r="I412" s="60"/>
      <c r="J412" s="60"/>
      <c r="K412" s="60"/>
      <c r="L412" s="60"/>
      <c r="M412" s="60"/>
      <c r="N412" s="60"/>
    </row>
    <row r="413" spans="6:14" ht="15.75" x14ac:dyDescent="0.25">
      <c r="F413" s="59"/>
      <c r="G413" s="60"/>
      <c r="H413" s="60"/>
      <c r="I413" s="60"/>
      <c r="J413" s="60"/>
      <c r="K413" s="60"/>
      <c r="L413" s="60"/>
      <c r="M413" s="60"/>
      <c r="N413" s="60"/>
    </row>
    <row r="414" spans="6:14" ht="15.75" x14ac:dyDescent="0.25">
      <c r="F414" s="59"/>
      <c r="G414" s="60"/>
      <c r="H414" s="60"/>
      <c r="I414" s="60"/>
      <c r="J414" s="60"/>
      <c r="K414" s="60"/>
      <c r="L414" s="60"/>
      <c r="M414" s="60"/>
      <c r="N414" s="60"/>
    </row>
    <row r="415" spans="6:14" ht="15.75" x14ac:dyDescent="0.25">
      <c r="F415" s="59"/>
      <c r="G415" s="60"/>
      <c r="H415" s="60"/>
      <c r="I415" s="60"/>
      <c r="J415" s="60"/>
      <c r="K415" s="60"/>
      <c r="L415" s="60"/>
      <c r="M415" s="60"/>
      <c r="N415" s="60"/>
    </row>
    <row r="416" spans="6:14" ht="15.75" x14ac:dyDescent="0.25">
      <c r="F416" s="59"/>
      <c r="G416" s="60"/>
      <c r="H416" s="60"/>
      <c r="I416" s="60"/>
      <c r="J416" s="60"/>
      <c r="K416" s="60"/>
      <c r="L416" s="60"/>
      <c r="M416" s="60"/>
      <c r="N416" s="60"/>
    </row>
    <row r="417" spans="6:14" ht="15.75" x14ac:dyDescent="0.25">
      <c r="F417" s="59"/>
      <c r="G417" s="60"/>
      <c r="H417" s="60"/>
      <c r="I417" s="60"/>
      <c r="J417" s="60"/>
      <c r="K417" s="60"/>
      <c r="L417" s="60"/>
      <c r="M417" s="60"/>
      <c r="N417" s="60"/>
    </row>
    <row r="418" spans="6:14" ht="15.75" x14ac:dyDescent="0.25">
      <c r="F418" s="59"/>
      <c r="G418" s="60"/>
      <c r="H418" s="60"/>
      <c r="I418" s="60"/>
      <c r="J418" s="60"/>
      <c r="K418" s="60"/>
      <c r="L418" s="60"/>
      <c r="M418" s="60"/>
      <c r="N418" s="60"/>
    </row>
    <row r="419" spans="6:14" ht="15.75" x14ac:dyDescent="0.25">
      <c r="F419" s="59"/>
      <c r="G419" s="60"/>
      <c r="H419" s="60"/>
      <c r="I419" s="60"/>
      <c r="J419" s="60"/>
      <c r="K419" s="60"/>
      <c r="L419" s="60"/>
      <c r="M419" s="60"/>
      <c r="N419" s="60"/>
    </row>
    <row r="420" spans="6:14" ht="15.75" x14ac:dyDescent="0.25">
      <c r="F420" s="59"/>
      <c r="G420" s="60"/>
      <c r="H420" s="60"/>
      <c r="I420" s="60"/>
      <c r="J420" s="60"/>
      <c r="K420" s="60"/>
      <c r="L420" s="60"/>
      <c r="M420" s="60"/>
      <c r="N420" s="60"/>
    </row>
    <row r="421" spans="6:14" ht="15.75" x14ac:dyDescent="0.25">
      <c r="F421" s="59"/>
      <c r="G421" s="60"/>
      <c r="H421" s="60"/>
      <c r="I421" s="60"/>
      <c r="J421" s="60"/>
      <c r="K421" s="60"/>
      <c r="L421" s="60"/>
      <c r="M421" s="60"/>
      <c r="N421" s="60"/>
    </row>
    <row r="422" spans="6:14" ht="15.75" x14ac:dyDescent="0.25">
      <c r="F422" s="59"/>
      <c r="G422" s="60"/>
      <c r="H422" s="60"/>
      <c r="I422" s="60"/>
      <c r="J422" s="60"/>
      <c r="K422" s="60"/>
      <c r="L422" s="60"/>
      <c r="M422" s="60"/>
      <c r="N422" s="60"/>
    </row>
    <row r="423" spans="6:14" ht="15.75" x14ac:dyDescent="0.25">
      <c r="F423" s="59"/>
      <c r="G423" s="60"/>
      <c r="H423" s="60"/>
      <c r="I423" s="60"/>
      <c r="J423" s="60"/>
      <c r="K423" s="60"/>
      <c r="L423" s="60"/>
      <c r="M423" s="60"/>
      <c r="N423" s="60"/>
    </row>
    <row r="424" spans="6:14" ht="15.75" x14ac:dyDescent="0.25">
      <c r="F424" s="59"/>
      <c r="G424" s="60"/>
      <c r="H424" s="60"/>
      <c r="I424" s="60"/>
      <c r="J424" s="60"/>
      <c r="K424" s="60"/>
      <c r="L424" s="60"/>
      <c r="M424" s="60"/>
      <c r="N424" s="60"/>
    </row>
    <row r="425" spans="6:14" ht="15.75" x14ac:dyDescent="0.25">
      <c r="F425" s="59"/>
      <c r="G425" s="60"/>
      <c r="H425" s="60"/>
      <c r="I425" s="60"/>
      <c r="J425" s="60"/>
      <c r="K425" s="60"/>
      <c r="L425" s="60"/>
      <c r="M425" s="60"/>
      <c r="N425" s="60"/>
    </row>
    <row r="426" spans="6:14" ht="15.75" x14ac:dyDescent="0.25">
      <c r="F426" s="59"/>
      <c r="G426" s="60"/>
      <c r="H426" s="60"/>
      <c r="I426" s="60"/>
      <c r="J426" s="60"/>
      <c r="K426" s="60"/>
      <c r="L426" s="60"/>
      <c r="M426" s="60"/>
      <c r="N426" s="60"/>
    </row>
    <row r="427" spans="6:14" ht="15.75" x14ac:dyDescent="0.25">
      <c r="F427" s="59"/>
      <c r="G427" s="60"/>
      <c r="H427" s="60"/>
      <c r="I427" s="60"/>
      <c r="J427" s="60"/>
      <c r="K427" s="60"/>
      <c r="L427" s="60"/>
      <c r="M427" s="60"/>
      <c r="N427" s="60"/>
    </row>
    <row r="428" spans="6:14" ht="15.75" x14ac:dyDescent="0.25">
      <c r="F428" s="59"/>
      <c r="G428" s="60"/>
      <c r="H428" s="60"/>
      <c r="I428" s="60"/>
      <c r="J428" s="60"/>
      <c r="K428" s="60"/>
      <c r="L428" s="60"/>
      <c r="M428" s="60"/>
      <c r="N428" s="60"/>
    </row>
    <row r="429" spans="6:14" ht="15.75" x14ac:dyDescent="0.25">
      <c r="F429" s="59"/>
      <c r="G429" s="60"/>
      <c r="H429" s="60"/>
      <c r="I429" s="60"/>
      <c r="J429" s="60"/>
      <c r="K429" s="60"/>
      <c r="L429" s="60"/>
      <c r="M429" s="60"/>
      <c r="N429" s="60"/>
    </row>
    <row r="430" spans="6:14" ht="15.75" x14ac:dyDescent="0.25">
      <c r="F430" s="59"/>
      <c r="G430" s="60"/>
      <c r="H430" s="60"/>
      <c r="I430" s="60"/>
      <c r="J430" s="60"/>
      <c r="K430" s="60"/>
      <c r="L430" s="60"/>
      <c r="M430" s="60"/>
      <c r="N430" s="60"/>
    </row>
    <row r="431" spans="6:14" ht="15.75" x14ac:dyDescent="0.25">
      <c r="F431" s="59"/>
      <c r="G431" s="60"/>
      <c r="H431" s="60"/>
      <c r="I431" s="60"/>
      <c r="J431" s="60"/>
      <c r="K431" s="60"/>
      <c r="L431" s="60"/>
      <c r="M431" s="60"/>
      <c r="N431" s="60"/>
    </row>
    <row r="432" spans="6:14" ht="15.75" x14ac:dyDescent="0.25">
      <c r="F432" s="59"/>
      <c r="G432" s="60"/>
      <c r="H432" s="60"/>
      <c r="I432" s="60"/>
      <c r="J432" s="60"/>
      <c r="K432" s="60"/>
      <c r="L432" s="60"/>
      <c r="M432" s="60"/>
      <c r="N432" s="60"/>
    </row>
  </sheetData>
  <printOptions horizontalCentered="1" verticalCentered="1" gridLinesSet="0"/>
  <pageMargins left="0.11811023622047245" right="0.19685039370078741" top="0.98425196850393704" bottom="0.98425196850393704" header="0.51181102362204722" footer="0.51181102362204722"/>
  <pageSetup paperSize="9" scale="95" orientation="landscape" horizontalDpi="30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K59"/>
  <sheetViews>
    <sheetView topLeftCell="A5" workbookViewId="0">
      <selection activeCell="D28" sqref="D28:K28"/>
    </sheetView>
  </sheetViews>
  <sheetFormatPr defaultRowHeight="12.75" x14ac:dyDescent="0.2"/>
  <cols>
    <col min="1" max="1" width="3.140625" style="37" customWidth="1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6" width="9.140625" style="37"/>
    <col min="257" max="257" width="3.140625" style="37" customWidth="1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2" width="9.140625" style="37"/>
    <col min="513" max="513" width="3.140625" style="37" customWidth="1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8" width="9.140625" style="37"/>
    <col min="769" max="769" width="3.140625" style="37" customWidth="1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4" width="9.140625" style="37"/>
    <col min="1025" max="1025" width="3.140625" style="37" customWidth="1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0" width="9.140625" style="37"/>
    <col min="1281" max="1281" width="3.140625" style="37" customWidth="1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6" width="9.140625" style="37"/>
    <col min="1537" max="1537" width="3.140625" style="37" customWidth="1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2" width="9.140625" style="37"/>
    <col min="1793" max="1793" width="3.140625" style="37" customWidth="1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8" width="9.140625" style="37"/>
    <col min="2049" max="2049" width="3.140625" style="37" customWidth="1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4" width="9.140625" style="37"/>
    <col min="2305" max="2305" width="3.140625" style="37" customWidth="1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0" width="9.140625" style="37"/>
    <col min="2561" max="2561" width="3.140625" style="37" customWidth="1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6" width="9.140625" style="37"/>
    <col min="2817" max="2817" width="3.140625" style="37" customWidth="1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2" width="9.140625" style="37"/>
    <col min="3073" max="3073" width="3.140625" style="37" customWidth="1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8" width="9.140625" style="37"/>
    <col min="3329" max="3329" width="3.140625" style="37" customWidth="1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4" width="9.140625" style="37"/>
    <col min="3585" max="3585" width="3.140625" style="37" customWidth="1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0" width="9.140625" style="37"/>
    <col min="3841" max="3841" width="3.140625" style="37" customWidth="1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6" width="9.140625" style="37"/>
    <col min="4097" max="4097" width="3.140625" style="37" customWidth="1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2" width="9.140625" style="37"/>
    <col min="4353" max="4353" width="3.140625" style="37" customWidth="1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8" width="9.140625" style="37"/>
    <col min="4609" max="4609" width="3.140625" style="37" customWidth="1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4" width="9.140625" style="37"/>
    <col min="4865" max="4865" width="3.140625" style="37" customWidth="1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0" width="9.140625" style="37"/>
    <col min="5121" max="5121" width="3.140625" style="37" customWidth="1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6" width="9.140625" style="37"/>
    <col min="5377" max="5377" width="3.140625" style="37" customWidth="1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2" width="9.140625" style="37"/>
    <col min="5633" max="5633" width="3.140625" style="37" customWidth="1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8" width="9.140625" style="37"/>
    <col min="5889" max="5889" width="3.140625" style="37" customWidth="1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4" width="9.140625" style="37"/>
    <col min="6145" max="6145" width="3.140625" style="37" customWidth="1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0" width="9.140625" style="37"/>
    <col min="6401" max="6401" width="3.140625" style="37" customWidth="1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6" width="9.140625" style="37"/>
    <col min="6657" max="6657" width="3.140625" style="37" customWidth="1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2" width="9.140625" style="37"/>
    <col min="6913" max="6913" width="3.140625" style="37" customWidth="1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8" width="9.140625" style="37"/>
    <col min="7169" max="7169" width="3.140625" style="37" customWidth="1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4" width="9.140625" style="37"/>
    <col min="7425" max="7425" width="3.140625" style="37" customWidth="1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0" width="9.140625" style="37"/>
    <col min="7681" max="7681" width="3.140625" style="37" customWidth="1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6" width="9.140625" style="37"/>
    <col min="7937" max="7937" width="3.140625" style="37" customWidth="1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2" width="9.140625" style="37"/>
    <col min="8193" max="8193" width="3.140625" style="37" customWidth="1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8" width="9.140625" style="37"/>
    <col min="8449" max="8449" width="3.140625" style="37" customWidth="1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4" width="9.140625" style="37"/>
    <col min="8705" max="8705" width="3.140625" style="37" customWidth="1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0" width="9.140625" style="37"/>
    <col min="8961" max="8961" width="3.140625" style="37" customWidth="1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6" width="9.140625" style="37"/>
    <col min="9217" max="9217" width="3.140625" style="37" customWidth="1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2" width="9.140625" style="37"/>
    <col min="9473" max="9473" width="3.140625" style="37" customWidth="1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8" width="9.140625" style="37"/>
    <col min="9729" max="9729" width="3.140625" style="37" customWidth="1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4" width="9.140625" style="37"/>
    <col min="9985" max="9985" width="3.140625" style="37" customWidth="1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0" width="9.140625" style="37"/>
    <col min="10241" max="10241" width="3.140625" style="37" customWidth="1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6" width="9.140625" style="37"/>
    <col min="10497" max="10497" width="3.140625" style="37" customWidth="1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2" width="9.140625" style="37"/>
    <col min="10753" max="10753" width="3.140625" style="37" customWidth="1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8" width="9.140625" style="37"/>
    <col min="11009" max="11009" width="3.140625" style="37" customWidth="1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4" width="9.140625" style="37"/>
    <col min="11265" max="11265" width="3.140625" style="37" customWidth="1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0" width="9.140625" style="37"/>
    <col min="11521" max="11521" width="3.140625" style="37" customWidth="1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6" width="9.140625" style="37"/>
    <col min="11777" max="11777" width="3.140625" style="37" customWidth="1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2" width="9.140625" style="37"/>
    <col min="12033" max="12033" width="3.140625" style="37" customWidth="1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8" width="9.140625" style="37"/>
    <col min="12289" max="12289" width="3.140625" style="37" customWidth="1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4" width="9.140625" style="37"/>
    <col min="12545" max="12545" width="3.140625" style="37" customWidth="1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0" width="9.140625" style="37"/>
    <col min="12801" max="12801" width="3.140625" style="37" customWidth="1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6" width="9.140625" style="37"/>
    <col min="13057" max="13057" width="3.140625" style="37" customWidth="1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2" width="9.140625" style="37"/>
    <col min="13313" max="13313" width="3.140625" style="37" customWidth="1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8" width="9.140625" style="37"/>
    <col min="13569" max="13569" width="3.140625" style="37" customWidth="1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4" width="9.140625" style="37"/>
    <col min="13825" max="13825" width="3.140625" style="37" customWidth="1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0" width="9.140625" style="37"/>
    <col min="14081" max="14081" width="3.140625" style="37" customWidth="1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6" width="9.140625" style="37"/>
    <col min="14337" max="14337" width="3.140625" style="37" customWidth="1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2" width="9.140625" style="37"/>
    <col min="14593" max="14593" width="3.140625" style="37" customWidth="1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8" width="9.140625" style="37"/>
    <col min="14849" max="14849" width="3.140625" style="37" customWidth="1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4" width="9.140625" style="37"/>
    <col min="15105" max="15105" width="3.140625" style="37" customWidth="1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0" width="9.140625" style="37"/>
    <col min="15361" max="15361" width="3.140625" style="37" customWidth="1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6" width="9.140625" style="37"/>
    <col min="15617" max="15617" width="3.140625" style="37" customWidth="1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2" width="9.140625" style="37"/>
    <col min="15873" max="15873" width="3.140625" style="37" customWidth="1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8" width="9.140625" style="37"/>
    <col min="16129" max="16129" width="3.140625" style="37" customWidth="1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3" spans="2:11" ht="15.75" x14ac:dyDescent="0.25">
      <c r="B3" s="2" t="s">
        <v>0</v>
      </c>
      <c r="C3" s="3"/>
      <c r="D3" s="3"/>
      <c r="E3" s="2"/>
      <c r="F3" s="3"/>
      <c r="G3" s="2"/>
      <c r="H3" s="2"/>
      <c r="I3" s="2"/>
      <c r="J3" s="2"/>
      <c r="K3" s="2"/>
    </row>
    <row r="4" spans="2:11" ht="15.75" x14ac:dyDescent="0.25">
      <c r="B4" s="1"/>
      <c r="C4" s="5"/>
      <c r="D4" s="2"/>
      <c r="E4" s="2"/>
      <c r="F4" s="2"/>
      <c r="G4" s="2" t="s">
        <v>1</v>
      </c>
      <c r="H4" s="2"/>
      <c r="I4" s="2"/>
      <c r="J4" s="2"/>
      <c r="K4" s="2"/>
    </row>
    <row r="5" spans="2:11" ht="15.75" x14ac:dyDescent="0.25">
      <c r="B5" s="6" t="s">
        <v>45</v>
      </c>
      <c r="C5" s="3"/>
      <c r="D5" s="3"/>
      <c r="E5" s="7"/>
      <c r="F5" s="3"/>
      <c r="G5" s="7"/>
      <c r="H5" s="7"/>
      <c r="I5" s="7"/>
      <c r="J5" s="7"/>
      <c r="K5" s="7"/>
    </row>
    <row r="6" spans="2:11" ht="16.5" thickBot="1" x14ac:dyDescent="0.3">
      <c r="B6" s="1"/>
      <c r="C6" s="5"/>
      <c r="D6" s="9"/>
      <c r="E6" s="9"/>
      <c r="F6" s="9"/>
      <c r="G6" s="9"/>
      <c r="H6" s="9"/>
      <c r="I6" s="9"/>
      <c r="J6" s="9"/>
      <c r="K6" s="9"/>
    </row>
    <row r="7" spans="2:11" ht="16.5" thickTop="1" x14ac:dyDescent="0.25">
      <c r="B7" s="11" t="s">
        <v>2</v>
      </c>
      <c r="C7" s="12" t="s">
        <v>3</v>
      </c>
      <c r="D7" s="62" t="s">
        <v>43</v>
      </c>
      <c r="E7" s="62" t="s">
        <v>40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63" t="s">
        <v>11</v>
      </c>
    </row>
    <row r="8" spans="2:11" ht="15.75" x14ac:dyDescent="0.25">
      <c r="B8" s="15"/>
      <c r="C8" s="16"/>
      <c r="D8" s="17"/>
      <c r="E8" s="17"/>
      <c r="F8" s="17"/>
      <c r="G8" s="17"/>
      <c r="H8" s="17"/>
      <c r="I8" s="17"/>
      <c r="J8" s="17"/>
      <c r="K8" s="64"/>
    </row>
    <row r="9" spans="2:11" ht="15.75" x14ac:dyDescent="0.25">
      <c r="B9" s="20" t="s">
        <v>13</v>
      </c>
      <c r="C9" s="16">
        <f>D9+E9+F9+G9+H9+I9+J9+K9</f>
        <v>143530144</v>
      </c>
      <c r="D9" s="17">
        <v>5818519</v>
      </c>
      <c r="E9" s="17">
        <v>16435907</v>
      </c>
      <c r="F9" s="17">
        <v>32842</v>
      </c>
      <c r="G9" s="17">
        <v>53624400</v>
      </c>
      <c r="H9" s="17">
        <v>1361332</v>
      </c>
      <c r="I9" s="17">
        <v>15612790</v>
      </c>
      <c r="J9" s="17">
        <v>37365080</v>
      </c>
      <c r="K9" s="64">
        <v>13279274</v>
      </c>
    </row>
    <row r="10" spans="2:11" ht="15.75" x14ac:dyDescent="0.25">
      <c r="B10" s="20"/>
      <c r="C10" s="16"/>
      <c r="D10" s="17"/>
      <c r="E10" s="17"/>
      <c r="F10" s="17"/>
      <c r="G10" s="17"/>
      <c r="H10" s="17"/>
      <c r="I10" s="17"/>
      <c r="J10" s="17"/>
      <c r="K10" s="64"/>
    </row>
    <row r="11" spans="2:11" ht="15.75" x14ac:dyDescent="0.25">
      <c r="B11" s="20" t="s">
        <v>14</v>
      </c>
      <c r="C11" s="16">
        <f>D11+E11+F11+G11+H11+I11+J11+K11</f>
        <v>7329719</v>
      </c>
      <c r="D11" s="17">
        <v>334805</v>
      </c>
      <c r="E11" s="17">
        <v>948687</v>
      </c>
      <c r="F11" s="17">
        <v>0</v>
      </c>
      <c r="G11" s="17">
        <v>1681472</v>
      </c>
      <c r="H11" s="17">
        <v>4364755</v>
      </c>
      <c r="I11" s="17">
        <v>0</v>
      </c>
      <c r="J11" s="17">
        <v>0</v>
      </c>
      <c r="K11" s="64">
        <v>0</v>
      </c>
    </row>
    <row r="12" spans="2:11" ht="15.75" x14ac:dyDescent="0.25">
      <c r="B12" s="20"/>
      <c r="C12" s="16"/>
      <c r="D12" s="17"/>
      <c r="E12" s="17"/>
      <c r="F12" s="17"/>
      <c r="G12" s="17"/>
      <c r="H12" s="17"/>
      <c r="I12" s="17"/>
      <c r="J12" s="17"/>
      <c r="K12" s="64"/>
    </row>
    <row r="13" spans="2:11" ht="15.75" x14ac:dyDescent="0.25">
      <c r="B13" s="20" t="s">
        <v>15</v>
      </c>
      <c r="C13" s="16">
        <f>D13+E13+F13+G13+H13+I13+J13+K13</f>
        <v>65432045</v>
      </c>
      <c r="D13" s="17">
        <v>2699282</v>
      </c>
      <c r="E13" s="17">
        <v>8529487</v>
      </c>
      <c r="F13" s="17">
        <v>0</v>
      </c>
      <c r="G13" s="17">
        <v>16446365</v>
      </c>
      <c r="H13" s="17">
        <v>0</v>
      </c>
      <c r="I13" s="17">
        <v>4778710</v>
      </c>
      <c r="J13" s="17">
        <v>26737911</v>
      </c>
      <c r="K13" s="64">
        <v>6240290</v>
      </c>
    </row>
    <row r="14" spans="2:11" ht="15.75" x14ac:dyDescent="0.25">
      <c r="B14" s="20" t="s">
        <v>16</v>
      </c>
      <c r="C14" s="16">
        <f>D14+E14+F14+G14+H14+I14+J14+K14</f>
        <v>9830625</v>
      </c>
      <c r="D14" s="17">
        <v>0</v>
      </c>
      <c r="E14" s="17">
        <v>0</v>
      </c>
      <c r="F14" s="17">
        <v>0</v>
      </c>
      <c r="G14" s="17">
        <v>8867609</v>
      </c>
      <c r="H14" s="17">
        <v>963016</v>
      </c>
      <c r="I14" s="17">
        <v>0</v>
      </c>
      <c r="J14" s="17">
        <v>0</v>
      </c>
      <c r="K14" s="64">
        <v>0</v>
      </c>
    </row>
    <row r="15" spans="2:11" ht="15.75" x14ac:dyDescent="0.25">
      <c r="B15" s="20"/>
      <c r="C15" s="16"/>
      <c r="D15" s="17"/>
      <c r="E15" s="17"/>
      <c r="F15" s="17"/>
      <c r="G15" s="17"/>
      <c r="H15" s="17"/>
      <c r="I15" s="17"/>
      <c r="J15" s="17"/>
      <c r="K15" s="64"/>
    </row>
    <row r="16" spans="2:11" ht="15.75" x14ac:dyDescent="0.25">
      <c r="B16" s="20" t="s">
        <v>17</v>
      </c>
      <c r="C16" s="16">
        <f>D16+E16+F16+G16+H16+I16+J16+K16</f>
        <v>4425581</v>
      </c>
      <c r="D16" s="17">
        <v>207425</v>
      </c>
      <c r="E16" s="17">
        <v>506128</v>
      </c>
      <c r="F16" s="17">
        <v>0</v>
      </c>
      <c r="G16" s="17">
        <v>1391304</v>
      </c>
      <c r="H16" s="17">
        <v>2320724</v>
      </c>
      <c r="I16" s="17">
        <v>0</v>
      </c>
      <c r="J16" s="17">
        <v>0</v>
      </c>
      <c r="K16" s="64">
        <v>0</v>
      </c>
    </row>
    <row r="17" spans="2:11" ht="15.75" x14ac:dyDescent="0.25">
      <c r="B17" s="20"/>
      <c r="C17" s="16"/>
      <c r="D17" s="17"/>
      <c r="E17" s="17"/>
      <c r="F17" s="17"/>
      <c r="G17" s="17"/>
      <c r="H17" s="17"/>
      <c r="I17" s="17"/>
      <c r="J17" s="17"/>
      <c r="K17" s="64"/>
    </row>
    <row r="18" spans="2:11" ht="15.75" x14ac:dyDescent="0.25">
      <c r="B18" s="20" t="s">
        <v>18</v>
      </c>
      <c r="C18" s="16">
        <f>D18+E18+F18+G18+H18+I18+J18+K18</f>
        <v>11188313</v>
      </c>
      <c r="D18" s="17">
        <v>493481</v>
      </c>
      <c r="E18" s="17">
        <v>941461</v>
      </c>
      <c r="F18" s="17">
        <v>0</v>
      </c>
      <c r="G18" s="17">
        <v>4929256</v>
      </c>
      <c r="H18" s="17">
        <v>4824115</v>
      </c>
      <c r="I18" s="17">
        <v>0</v>
      </c>
      <c r="J18" s="17">
        <v>0</v>
      </c>
      <c r="K18" s="64">
        <v>0</v>
      </c>
    </row>
    <row r="19" spans="2:11" ht="15.75" x14ac:dyDescent="0.25">
      <c r="B19" s="20"/>
      <c r="C19" s="16"/>
      <c r="D19" s="17"/>
      <c r="E19" s="17"/>
      <c r="F19" s="17"/>
      <c r="G19" s="17"/>
      <c r="H19" s="17"/>
      <c r="I19" s="17"/>
      <c r="J19" s="17"/>
      <c r="K19" s="64"/>
    </row>
    <row r="20" spans="2:11" ht="15.75" x14ac:dyDescent="0.25">
      <c r="B20" s="20" t="s">
        <v>19</v>
      </c>
      <c r="C20" s="16">
        <f>D20+E20+F20+G20+H20+I20+J20+K20</f>
        <v>25370429</v>
      </c>
      <c r="D20" s="17">
        <v>731937</v>
      </c>
      <c r="E20" s="17">
        <v>2424056</v>
      </c>
      <c r="F20" s="17">
        <v>15013</v>
      </c>
      <c r="G20" s="17">
        <v>8280236</v>
      </c>
      <c r="H20" s="17">
        <v>1471885</v>
      </c>
      <c r="I20" s="17">
        <v>831529</v>
      </c>
      <c r="J20" s="17">
        <v>8110000</v>
      </c>
      <c r="K20" s="64">
        <v>3505773</v>
      </c>
    </row>
    <row r="21" spans="2:11" ht="15.75" x14ac:dyDescent="0.25">
      <c r="B21" s="20"/>
      <c r="C21" s="16"/>
      <c r="D21" s="17"/>
      <c r="E21" s="17"/>
      <c r="F21" s="17"/>
      <c r="G21" s="17"/>
      <c r="H21" s="17"/>
      <c r="I21" s="17"/>
      <c r="J21" s="17"/>
      <c r="K21" s="64"/>
    </row>
    <row r="22" spans="2:11" ht="15.75" x14ac:dyDescent="0.25">
      <c r="B22" s="20" t="s">
        <v>20</v>
      </c>
      <c r="C22" s="16">
        <f>D22+E22+F22+G22+H22+I22+J22+K22</f>
        <v>18443137</v>
      </c>
      <c r="D22" s="17">
        <v>473528</v>
      </c>
      <c r="E22" s="17">
        <v>1791585</v>
      </c>
      <c r="F22" s="17">
        <v>0</v>
      </c>
      <c r="G22" s="17">
        <v>9362341</v>
      </c>
      <c r="H22" s="17">
        <v>129584</v>
      </c>
      <c r="I22" s="17">
        <v>-4966</v>
      </c>
      <c r="J22" s="17">
        <v>6691065</v>
      </c>
      <c r="K22" s="64">
        <v>0</v>
      </c>
    </row>
    <row r="23" spans="2:11" ht="15.75" x14ac:dyDescent="0.25">
      <c r="B23" s="20"/>
      <c r="C23" s="16"/>
      <c r="D23" s="17"/>
      <c r="E23" s="17"/>
      <c r="F23" s="17"/>
      <c r="G23" s="17"/>
      <c r="H23" s="17"/>
      <c r="I23" s="17"/>
      <c r="J23" s="17"/>
      <c r="K23" s="64"/>
    </row>
    <row r="24" spans="2:11" ht="15.75" x14ac:dyDescent="0.25">
      <c r="B24" s="20" t="s">
        <v>21</v>
      </c>
      <c r="C24" s="16">
        <f>D24+E24+F24+G24+H24+I24+J24+K24</f>
        <v>3620619</v>
      </c>
      <c r="D24" s="17">
        <v>141656</v>
      </c>
      <c r="E24" s="17">
        <v>466750</v>
      </c>
      <c r="F24" s="17">
        <v>0</v>
      </c>
      <c r="G24" s="17">
        <v>1649741</v>
      </c>
      <c r="H24" s="17">
        <v>1362472</v>
      </c>
      <c r="I24" s="17">
        <v>0</v>
      </c>
      <c r="J24" s="17">
        <v>0</v>
      </c>
      <c r="K24" s="64">
        <v>0</v>
      </c>
    </row>
    <row r="25" spans="2:11" ht="15.75" x14ac:dyDescent="0.25">
      <c r="B25" s="20"/>
      <c r="C25" s="16"/>
      <c r="D25" s="17"/>
      <c r="E25" s="17"/>
      <c r="F25" s="17"/>
      <c r="G25" s="17"/>
      <c r="H25" s="17"/>
      <c r="I25" s="17"/>
      <c r="J25" s="17"/>
      <c r="K25" s="64"/>
    </row>
    <row r="26" spans="2:11" ht="15.75" x14ac:dyDescent="0.25">
      <c r="B26" s="20" t="s">
        <v>22</v>
      </c>
      <c r="C26" s="16">
        <f>D26+E26+F26+G26+H26+I26+J26+K26</f>
        <v>356849</v>
      </c>
      <c r="D26" s="17">
        <v>6003</v>
      </c>
      <c r="E26" s="17">
        <v>21899</v>
      </c>
      <c r="F26" s="17">
        <v>0</v>
      </c>
      <c r="G26" s="17">
        <v>103729</v>
      </c>
      <c r="H26" s="17">
        <v>225218</v>
      </c>
      <c r="I26" s="17">
        <v>0</v>
      </c>
      <c r="J26" s="17">
        <v>0</v>
      </c>
      <c r="K26" s="64">
        <v>0</v>
      </c>
    </row>
    <row r="27" spans="2:11" ht="15.75" x14ac:dyDescent="0.25">
      <c r="B27" s="20"/>
      <c r="C27" s="16"/>
      <c r="D27" s="17"/>
      <c r="E27" s="17"/>
      <c r="F27" s="17"/>
      <c r="G27" s="17"/>
      <c r="H27" s="17"/>
      <c r="I27" s="17"/>
      <c r="J27" s="17"/>
      <c r="K27" s="64"/>
    </row>
    <row r="28" spans="2:11" ht="15.75" x14ac:dyDescent="0.25">
      <c r="B28" s="65" t="s">
        <v>3</v>
      </c>
      <c r="C28" s="16">
        <f>C9+C11+C13+C14+C16+C18+C20+C22+C24+C26</f>
        <v>289527461</v>
      </c>
      <c r="D28" s="16">
        <f t="shared" ref="D28:K28" si="0">D9+D11+D13+D14+D16+D18+D20+D22+D24+D26</f>
        <v>10906636</v>
      </c>
      <c r="E28" s="16">
        <f t="shared" si="0"/>
        <v>32065960</v>
      </c>
      <c r="F28" s="16">
        <f t="shared" si="0"/>
        <v>47855</v>
      </c>
      <c r="G28" s="16">
        <f t="shared" si="0"/>
        <v>106336453</v>
      </c>
      <c r="H28" s="16">
        <f t="shared" si="0"/>
        <v>17023101</v>
      </c>
      <c r="I28" s="16">
        <f t="shared" si="0"/>
        <v>21218063</v>
      </c>
      <c r="J28" s="16">
        <f t="shared" si="0"/>
        <v>78904056</v>
      </c>
      <c r="K28" s="66">
        <f t="shared" si="0"/>
        <v>23025337</v>
      </c>
    </row>
    <row r="29" spans="2:11" ht="16.5" thickBot="1" x14ac:dyDescent="0.3">
      <c r="B29" s="25"/>
      <c r="C29" s="26"/>
      <c r="D29" s="27"/>
      <c r="E29" s="27"/>
      <c r="F29" s="27"/>
      <c r="G29" s="27"/>
      <c r="H29" s="27"/>
      <c r="I29" s="27"/>
      <c r="J29" s="27"/>
      <c r="K29" s="67"/>
    </row>
    <row r="30" spans="2:11" ht="16.5" thickTop="1" x14ac:dyDescent="0.25">
      <c r="B30" s="1"/>
      <c r="C30" s="30"/>
      <c r="D30" s="31"/>
      <c r="E30" s="31"/>
      <c r="F30" s="31"/>
      <c r="G30" s="31"/>
      <c r="H30" s="31"/>
      <c r="I30" s="31"/>
      <c r="J30" s="31"/>
      <c r="K30" s="31"/>
    </row>
    <row r="31" spans="2:11" ht="15.75" x14ac:dyDescent="0.25">
      <c r="B31" s="33" t="s">
        <v>23</v>
      </c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1"/>
      <c r="C33" s="34"/>
      <c r="D33" s="35"/>
      <c r="E33" s="35"/>
      <c r="F33" s="35"/>
      <c r="G33" s="35"/>
      <c r="H33" s="35"/>
      <c r="I33" s="35"/>
      <c r="J33" s="35"/>
      <c r="K33" s="35"/>
    </row>
    <row r="34" spans="2:11" ht="15.75" x14ac:dyDescent="0.25">
      <c r="B34" s="2" t="s">
        <v>0</v>
      </c>
      <c r="C34" s="3"/>
      <c r="D34" s="3"/>
      <c r="E34" s="7"/>
      <c r="F34" s="3"/>
      <c r="G34" s="7"/>
      <c r="H34" s="7"/>
      <c r="I34" s="7"/>
      <c r="J34" s="7"/>
      <c r="K34" s="7"/>
    </row>
    <row r="35" spans="2:11" ht="15.75" x14ac:dyDescent="0.25">
      <c r="B35" s="1"/>
      <c r="C35" s="36"/>
      <c r="E35" s="38"/>
      <c r="F35" s="38"/>
      <c r="G35" s="39" t="s">
        <v>1</v>
      </c>
      <c r="H35" s="38"/>
      <c r="I35" s="38"/>
      <c r="J35" s="38"/>
      <c r="K35" s="38"/>
    </row>
    <row r="36" spans="2:11" ht="15.75" x14ac:dyDescent="0.25">
      <c r="B36" s="6" t="s">
        <v>45</v>
      </c>
      <c r="C36" s="3"/>
      <c r="D36" s="3"/>
      <c r="E36" s="7"/>
      <c r="F36" s="3"/>
      <c r="G36" s="7"/>
      <c r="H36" s="7"/>
      <c r="I36" s="7"/>
      <c r="J36" s="7"/>
      <c r="K36" s="7"/>
    </row>
    <row r="37" spans="2:11" ht="16.5" thickBot="1" x14ac:dyDescent="0.3">
      <c r="B37" s="1"/>
      <c r="C37" s="36"/>
      <c r="D37" s="38"/>
      <c r="E37" s="38"/>
      <c r="F37" s="38"/>
      <c r="G37" s="38"/>
      <c r="H37" s="38"/>
      <c r="I37" s="38"/>
      <c r="J37" s="38"/>
      <c r="K37" s="38"/>
    </row>
    <row r="38" spans="2:11" ht="16.5" thickTop="1" x14ac:dyDescent="0.25">
      <c r="B38" s="41" t="s">
        <v>24</v>
      </c>
      <c r="C38" s="42" t="s">
        <v>3</v>
      </c>
      <c r="D38" s="62" t="s">
        <v>43</v>
      </c>
      <c r="E38" s="62" t="s">
        <v>40</v>
      </c>
      <c r="F38" s="43" t="s">
        <v>6</v>
      </c>
      <c r="G38" s="43" t="s">
        <v>7</v>
      </c>
      <c r="H38" s="43" t="s">
        <v>8</v>
      </c>
      <c r="I38" s="43" t="s">
        <v>25</v>
      </c>
      <c r="J38" s="44" t="s">
        <v>10</v>
      </c>
      <c r="K38" s="63" t="s">
        <v>11</v>
      </c>
    </row>
    <row r="39" spans="2:11" ht="15.75" x14ac:dyDescent="0.25">
      <c r="B39" s="45"/>
      <c r="C39" s="46"/>
      <c r="D39" s="47"/>
      <c r="E39" s="47"/>
      <c r="F39" s="47"/>
      <c r="G39" s="47"/>
      <c r="H39" s="47"/>
      <c r="I39" s="47"/>
      <c r="J39" s="48"/>
      <c r="K39" s="68"/>
    </row>
    <row r="40" spans="2:11" ht="15.75" x14ac:dyDescent="0.25">
      <c r="B40" s="45" t="s">
        <v>26</v>
      </c>
      <c r="C40" s="49">
        <f>SUM(D40:K40)</f>
        <v>23468727</v>
      </c>
      <c r="D40" s="50">
        <v>1054411</v>
      </c>
      <c r="E40" s="50">
        <v>2494072</v>
      </c>
      <c r="F40" s="50">
        <v>8095</v>
      </c>
      <c r="G40" s="50">
        <v>8166501</v>
      </c>
      <c r="H40" s="50">
        <v>1446305</v>
      </c>
      <c r="I40" s="50">
        <v>2454431</v>
      </c>
      <c r="J40" s="51">
        <v>6058490</v>
      </c>
      <c r="K40" s="69">
        <v>1786422</v>
      </c>
    </row>
    <row r="41" spans="2:11" ht="15.75" x14ac:dyDescent="0.25">
      <c r="B41" s="45" t="s">
        <v>27</v>
      </c>
      <c r="C41" s="49">
        <f>SUM(D41:K41)</f>
        <v>19770066</v>
      </c>
      <c r="D41" s="50">
        <v>700901</v>
      </c>
      <c r="E41" s="50">
        <v>2074883</v>
      </c>
      <c r="F41" s="50">
        <v>0</v>
      </c>
      <c r="G41" s="50">
        <v>7393734</v>
      </c>
      <c r="H41" s="50">
        <v>1098888</v>
      </c>
      <c r="I41" s="50">
        <v>1578359</v>
      </c>
      <c r="J41" s="51">
        <v>5113163</v>
      </c>
      <c r="K41" s="69">
        <v>1810138</v>
      </c>
    </row>
    <row r="42" spans="2:11" ht="15.75" x14ac:dyDescent="0.25">
      <c r="B42" s="45" t="s">
        <v>28</v>
      </c>
      <c r="C42" s="49">
        <f>SUM(D42:K42)</f>
        <v>22939861</v>
      </c>
      <c r="D42" s="50">
        <v>828808</v>
      </c>
      <c r="E42" s="50">
        <v>2422373</v>
      </c>
      <c r="F42" s="50">
        <v>2400</v>
      </c>
      <c r="G42" s="50">
        <v>8467906</v>
      </c>
      <c r="H42" s="50">
        <v>1218069</v>
      </c>
      <c r="I42" s="50">
        <v>1596409</v>
      </c>
      <c r="J42" s="51">
        <v>6604046</v>
      </c>
      <c r="K42" s="69">
        <v>1799850</v>
      </c>
    </row>
    <row r="43" spans="2:11" ht="15.75" x14ac:dyDescent="0.25">
      <c r="B43" s="45"/>
      <c r="C43" s="49">
        <f t="shared" ref="C43:I43" si="1">C40+C41+C42</f>
        <v>66178654</v>
      </c>
      <c r="D43" s="50">
        <f t="shared" si="1"/>
        <v>2584120</v>
      </c>
      <c r="E43" s="50">
        <f t="shared" si="1"/>
        <v>6991328</v>
      </c>
      <c r="F43" s="50">
        <f t="shared" si="1"/>
        <v>10495</v>
      </c>
      <c r="G43" s="50">
        <f t="shared" si="1"/>
        <v>24028141</v>
      </c>
      <c r="H43" s="50">
        <f t="shared" si="1"/>
        <v>3763262</v>
      </c>
      <c r="I43" s="50">
        <f t="shared" si="1"/>
        <v>5629199</v>
      </c>
      <c r="J43" s="51">
        <f>J40+J41+J42</f>
        <v>17775699</v>
      </c>
      <c r="K43" s="69">
        <f>K40+K41+K42</f>
        <v>5396410</v>
      </c>
    </row>
    <row r="44" spans="2:11" ht="15.75" x14ac:dyDescent="0.25">
      <c r="B44" s="45" t="s">
        <v>29</v>
      </c>
      <c r="C44" s="49">
        <f>SUM(D44:K44)</f>
        <v>23621555</v>
      </c>
      <c r="D44" s="50">
        <v>975838</v>
      </c>
      <c r="E44" s="50">
        <v>2624672</v>
      </c>
      <c r="F44" s="50">
        <v>16011</v>
      </c>
      <c r="G44" s="50">
        <v>9077994</v>
      </c>
      <c r="H44" s="50">
        <v>1224054</v>
      </c>
      <c r="I44" s="50">
        <v>1786580</v>
      </c>
      <c r="J44" s="51">
        <v>5984491</v>
      </c>
      <c r="K44" s="69">
        <v>1931915</v>
      </c>
    </row>
    <row r="45" spans="2:11" ht="15.75" x14ac:dyDescent="0.25">
      <c r="B45" s="45" t="s">
        <v>30</v>
      </c>
      <c r="C45" s="49">
        <f>SUM(D45:K45)</f>
        <v>24572406</v>
      </c>
      <c r="D45" s="50">
        <v>1034394</v>
      </c>
      <c r="E45" s="50">
        <v>2696191</v>
      </c>
      <c r="F45" s="50">
        <v>2593</v>
      </c>
      <c r="G45" s="50">
        <v>9718356</v>
      </c>
      <c r="H45" s="50">
        <v>1400783</v>
      </c>
      <c r="I45" s="50">
        <v>1802084</v>
      </c>
      <c r="J45" s="51">
        <v>5895185</v>
      </c>
      <c r="K45" s="69">
        <v>2022820</v>
      </c>
    </row>
    <row r="46" spans="2:11" ht="15.75" x14ac:dyDescent="0.25">
      <c r="B46" s="45" t="s">
        <v>31</v>
      </c>
      <c r="C46" s="49">
        <f>SUM(D46:K46)</f>
        <v>24016879</v>
      </c>
      <c r="D46" s="50">
        <v>975243</v>
      </c>
      <c r="E46" s="50">
        <v>2575561</v>
      </c>
      <c r="F46" s="50">
        <v>794</v>
      </c>
      <c r="G46" s="50">
        <v>9847820</v>
      </c>
      <c r="H46" s="50">
        <v>1342522</v>
      </c>
      <c r="I46" s="50">
        <v>1793160</v>
      </c>
      <c r="J46" s="51">
        <v>5931086</v>
      </c>
      <c r="K46" s="69">
        <v>1550693</v>
      </c>
    </row>
    <row r="47" spans="2:11" ht="15.75" x14ac:dyDescent="0.25">
      <c r="B47" s="45"/>
      <c r="C47" s="49">
        <f t="shared" ref="C47:I47" si="2">C44+C45+C46</f>
        <v>72210840</v>
      </c>
      <c r="D47" s="50">
        <f t="shared" si="2"/>
        <v>2985475</v>
      </c>
      <c r="E47" s="50">
        <f t="shared" si="2"/>
        <v>7896424</v>
      </c>
      <c r="F47" s="50">
        <f t="shared" si="2"/>
        <v>19398</v>
      </c>
      <c r="G47" s="50">
        <f t="shared" si="2"/>
        <v>28644170</v>
      </c>
      <c r="H47" s="50">
        <f t="shared" si="2"/>
        <v>3967359</v>
      </c>
      <c r="I47" s="50">
        <f t="shared" si="2"/>
        <v>5381824</v>
      </c>
      <c r="J47" s="51">
        <f>J44+J45+J46</f>
        <v>17810762</v>
      </c>
      <c r="K47" s="69">
        <f>K44+K45+K46</f>
        <v>5505428</v>
      </c>
    </row>
    <row r="48" spans="2:11" ht="15.75" x14ac:dyDescent="0.25">
      <c r="B48" s="45" t="s">
        <v>32</v>
      </c>
      <c r="C48" s="49">
        <f>SUM(D48:K48)</f>
        <v>27332775</v>
      </c>
      <c r="D48" s="50">
        <v>945935</v>
      </c>
      <c r="E48" s="50">
        <v>3141916</v>
      </c>
      <c r="F48" s="50">
        <v>8421</v>
      </c>
      <c r="G48" s="50">
        <v>9714646</v>
      </c>
      <c r="H48" s="50">
        <v>1430412</v>
      </c>
      <c r="I48" s="50">
        <v>1326325</v>
      </c>
      <c r="J48" s="51">
        <v>7178815</v>
      </c>
      <c r="K48" s="69">
        <v>3586305</v>
      </c>
    </row>
    <row r="49" spans="2:11" ht="15.75" x14ac:dyDescent="0.25">
      <c r="B49" s="45" t="s">
        <v>41</v>
      </c>
      <c r="C49" s="49">
        <f>SUM(D49:K49)</f>
        <v>27913869</v>
      </c>
      <c r="D49" s="50">
        <v>1181181</v>
      </c>
      <c r="E49" s="50">
        <v>3387713</v>
      </c>
      <c r="F49" s="50">
        <v>3568</v>
      </c>
      <c r="G49" s="50">
        <v>9777109</v>
      </c>
      <c r="H49" s="50">
        <v>1649428</v>
      </c>
      <c r="I49" s="50">
        <v>1929892</v>
      </c>
      <c r="J49" s="51">
        <v>8439111</v>
      </c>
      <c r="K49" s="69">
        <v>1545867</v>
      </c>
    </row>
    <row r="50" spans="2:11" ht="15.75" x14ac:dyDescent="0.25">
      <c r="B50" s="45" t="s">
        <v>34</v>
      </c>
      <c r="C50" s="49">
        <f>SUM(D50:K50)</f>
        <v>23167624</v>
      </c>
      <c r="D50" s="50">
        <v>778830</v>
      </c>
      <c r="E50" s="50">
        <v>2529545</v>
      </c>
      <c r="F50" s="50">
        <v>2776</v>
      </c>
      <c r="G50" s="50">
        <v>8746966</v>
      </c>
      <c r="H50" s="50">
        <v>1416421</v>
      </c>
      <c r="I50" s="50">
        <v>2327226</v>
      </c>
      <c r="J50" s="51">
        <v>6581183</v>
      </c>
      <c r="K50" s="69">
        <v>784677</v>
      </c>
    </row>
    <row r="51" spans="2:11" ht="15.75" x14ac:dyDescent="0.25">
      <c r="B51" s="45"/>
      <c r="C51" s="49">
        <f t="shared" ref="C51:K51" si="3">C48+C49+C50</f>
        <v>78414268</v>
      </c>
      <c r="D51" s="50">
        <f t="shared" si="3"/>
        <v>2905946</v>
      </c>
      <c r="E51" s="50">
        <f t="shared" si="3"/>
        <v>9059174</v>
      </c>
      <c r="F51" s="50">
        <f t="shared" si="3"/>
        <v>14765</v>
      </c>
      <c r="G51" s="50">
        <f t="shared" si="3"/>
        <v>28238721</v>
      </c>
      <c r="H51" s="50">
        <f t="shared" si="3"/>
        <v>4496261</v>
      </c>
      <c r="I51" s="50">
        <f t="shared" si="3"/>
        <v>5583443</v>
      </c>
      <c r="J51" s="51">
        <f t="shared" si="3"/>
        <v>22199109</v>
      </c>
      <c r="K51" s="69">
        <f t="shared" si="3"/>
        <v>5916849</v>
      </c>
    </row>
    <row r="52" spans="2:11" ht="15.75" x14ac:dyDescent="0.25">
      <c r="B52" s="45" t="s">
        <v>35</v>
      </c>
      <c r="C52" s="49">
        <f>SUM(D52:K52)</f>
        <v>25150457</v>
      </c>
      <c r="D52" s="50">
        <v>954420</v>
      </c>
      <c r="E52" s="50">
        <v>2871751</v>
      </c>
      <c r="F52" s="50">
        <v>596</v>
      </c>
      <c r="G52" s="50">
        <v>9599417</v>
      </c>
      <c r="H52" s="50">
        <v>1565049</v>
      </c>
      <c r="I52" s="50">
        <v>1159649</v>
      </c>
      <c r="J52" s="51">
        <v>6962224</v>
      </c>
      <c r="K52" s="69">
        <v>2037351</v>
      </c>
    </row>
    <row r="53" spans="2:11" ht="15.75" x14ac:dyDescent="0.25">
      <c r="B53" s="45" t="s">
        <v>36</v>
      </c>
      <c r="C53" s="49">
        <f>SUM(D53:K53)</f>
        <v>25001812</v>
      </c>
      <c r="D53" s="50">
        <v>679400</v>
      </c>
      <c r="E53" s="50">
        <v>2626770</v>
      </c>
      <c r="F53" s="50">
        <v>1992</v>
      </c>
      <c r="G53" s="50">
        <v>8352909</v>
      </c>
      <c r="H53" s="50">
        <v>1535792</v>
      </c>
      <c r="I53" s="50">
        <v>1830506</v>
      </c>
      <c r="J53" s="51">
        <v>7470817</v>
      </c>
      <c r="K53" s="69">
        <v>2503626</v>
      </c>
    </row>
    <row r="54" spans="2:11" ht="15.75" x14ac:dyDescent="0.25">
      <c r="B54" s="45" t="s">
        <v>37</v>
      </c>
      <c r="C54" s="49">
        <f>SUM(D54:K54)</f>
        <v>22571430</v>
      </c>
      <c r="D54" s="50">
        <v>797275</v>
      </c>
      <c r="E54" s="50">
        <v>2620513</v>
      </c>
      <c r="F54" s="50">
        <v>609</v>
      </c>
      <c r="G54" s="50">
        <v>7473095</v>
      </c>
      <c r="H54" s="50">
        <v>1695378</v>
      </c>
      <c r="I54" s="50">
        <v>1633442</v>
      </c>
      <c r="J54" s="51">
        <v>6685445</v>
      </c>
      <c r="K54" s="69">
        <v>1665673</v>
      </c>
    </row>
    <row r="55" spans="2:11" ht="15.75" x14ac:dyDescent="0.25">
      <c r="B55" s="45"/>
      <c r="C55" s="49">
        <f t="shared" ref="C55:K55" si="4">C52+C53+C54</f>
        <v>72723699</v>
      </c>
      <c r="D55" s="50">
        <f t="shared" si="4"/>
        <v>2431095</v>
      </c>
      <c r="E55" s="50">
        <f t="shared" si="4"/>
        <v>8119034</v>
      </c>
      <c r="F55" s="50">
        <f t="shared" si="4"/>
        <v>3197</v>
      </c>
      <c r="G55" s="50">
        <f t="shared" si="4"/>
        <v>25425421</v>
      </c>
      <c r="H55" s="50">
        <f t="shared" si="4"/>
        <v>4796219</v>
      </c>
      <c r="I55" s="50">
        <f t="shared" si="4"/>
        <v>4623597</v>
      </c>
      <c r="J55" s="51">
        <f t="shared" si="4"/>
        <v>21118486</v>
      </c>
      <c r="K55" s="69">
        <f t="shared" si="4"/>
        <v>6206650</v>
      </c>
    </row>
    <row r="56" spans="2:11" ht="15" x14ac:dyDescent="0.25">
      <c r="B56" s="70" t="s">
        <v>38</v>
      </c>
      <c r="C56" s="49">
        <f t="shared" ref="C56:K56" si="5">C40+C41+C42+C44+C45+C46+C48+C49+C50+C52+C53+C54</f>
        <v>289527461</v>
      </c>
      <c r="D56" s="50">
        <f t="shared" si="5"/>
        <v>10906636</v>
      </c>
      <c r="E56" s="50">
        <f t="shared" si="5"/>
        <v>32065960</v>
      </c>
      <c r="F56" s="50">
        <f t="shared" si="5"/>
        <v>47855</v>
      </c>
      <c r="G56" s="50">
        <f t="shared" si="5"/>
        <v>106336453</v>
      </c>
      <c r="H56" s="50">
        <f t="shared" si="5"/>
        <v>17023101</v>
      </c>
      <c r="I56" s="50">
        <f t="shared" si="5"/>
        <v>21218063</v>
      </c>
      <c r="J56" s="51">
        <f t="shared" si="5"/>
        <v>78904056</v>
      </c>
      <c r="K56" s="69">
        <f t="shared" si="5"/>
        <v>23025337</v>
      </c>
    </row>
    <row r="57" spans="2:11" ht="16.5" thickBot="1" x14ac:dyDescent="0.3">
      <c r="B57" s="58"/>
      <c r="C57" s="26"/>
      <c r="D57" s="27"/>
      <c r="E57" s="27"/>
      <c r="F57" s="27"/>
      <c r="G57" s="27"/>
      <c r="H57" s="27"/>
      <c r="I57" s="27"/>
      <c r="J57" s="28"/>
      <c r="K57" s="67"/>
    </row>
    <row r="58" spans="2:11" ht="13.5" thickTop="1" x14ac:dyDescent="0.2"/>
    <row r="59" spans="2:11" ht="15.75" x14ac:dyDescent="0.25">
      <c r="B59" s="33" t="s">
        <v>23</v>
      </c>
    </row>
  </sheetData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58"/>
  <sheetViews>
    <sheetView topLeftCell="A4" workbookViewId="0">
      <selection activeCell="D27" sqref="D27:K27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2" spans="2:11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</row>
    <row r="3" spans="2:11" ht="15.75" x14ac:dyDescent="0.25">
      <c r="B3" s="1"/>
      <c r="C3" s="5"/>
      <c r="D3" s="2"/>
      <c r="E3" s="2"/>
      <c r="F3" s="2"/>
      <c r="G3" s="2" t="s">
        <v>1</v>
      </c>
      <c r="H3" s="2"/>
      <c r="I3" s="2"/>
      <c r="J3" s="2"/>
      <c r="K3" s="2"/>
    </row>
    <row r="4" spans="2:11" ht="15.75" x14ac:dyDescent="0.25">
      <c r="B4" s="6" t="s">
        <v>46</v>
      </c>
      <c r="C4" s="3"/>
      <c r="D4" s="3"/>
      <c r="E4" s="7"/>
      <c r="F4" s="3"/>
      <c r="G4" s="7"/>
      <c r="H4" s="7"/>
      <c r="I4" s="7"/>
      <c r="J4" s="7"/>
      <c r="K4" s="7"/>
    </row>
    <row r="5" spans="2:11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9"/>
    </row>
    <row r="6" spans="2:11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63" t="s">
        <v>11</v>
      </c>
    </row>
    <row r="7" spans="2:11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64"/>
    </row>
    <row r="8" spans="2:11" ht="15.75" x14ac:dyDescent="0.25">
      <c r="B8" s="20" t="s">
        <v>13</v>
      </c>
      <c r="C8" s="16">
        <f>D8+E8+F8+G8+H8+I8+J8+K8</f>
        <v>156762473</v>
      </c>
      <c r="D8" s="17">
        <v>4821362</v>
      </c>
      <c r="E8" s="17">
        <v>18459271</v>
      </c>
      <c r="F8" s="17">
        <v>22173</v>
      </c>
      <c r="G8" s="17">
        <v>56574896</v>
      </c>
      <c r="H8" s="17">
        <v>1045777</v>
      </c>
      <c r="I8" s="17">
        <v>18011317</v>
      </c>
      <c r="J8" s="17">
        <v>43428625</v>
      </c>
      <c r="K8" s="64">
        <v>14399052</v>
      </c>
    </row>
    <row r="9" spans="2:11" ht="15.75" x14ac:dyDescent="0.25">
      <c r="B9" s="20"/>
      <c r="C9" s="16"/>
      <c r="D9" s="17"/>
      <c r="E9" s="17"/>
      <c r="F9" s="17"/>
      <c r="G9" s="17"/>
      <c r="H9" s="17"/>
      <c r="I9" s="17"/>
      <c r="J9" s="17"/>
      <c r="K9" s="64"/>
    </row>
    <row r="10" spans="2:11" ht="15.75" x14ac:dyDescent="0.25">
      <c r="B10" s="20" t="s">
        <v>14</v>
      </c>
      <c r="C10" s="16">
        <f>D10+E10+F10+G10+H10+I10+J10+K10</f>
        <v>7481908</v>
      </c>
      <c r="D10" s="17">
        <v>297526</v>
      </c>
      <c r="E10" s="17">
        <v>1022320</v>
      </c>
      <c r="F10" s="17">
        <v>14390</v>
      </c>
      <c r="G10" s="17">
        <v>1793766</v>
      </c>
      <c r="H10" s="17">
        <v>4353906</v>
      </c>
      <c r="I10" s="17">
        <v>0</v>
      </c>
      <c r="J10" s="17">
        <v>0</v>
      </c>
      <c r="K10" s="64">
        <v>0</v>
      </c>
    </row>
    <row r="11" spans="2:11" ht="15.75" x14ac:dyDescent="0.25">
      <c r="B11" s="20"/>
      <c r="C11" s="16"/>
      <c r="D11" s="17"/>
      <c r="E11" s="17"/>
      <c r="F11" s="17"/>
      <c r="G11" s="17"/>
      <c r="H11" s="17"/>
      <c r="I11" s="17"/>
      <c r="J11" s="17"/>
      <c r="K11" s="64"/>
    </row>
    <row r="12" spans="2:11" ht="15.75" x14ac:dyDescent="0.25">
      <c r="B12" s="20" t="s">
        <v>15</v>
      </c>
      <c r="C12" s="16">
        <f>D12+E12+F12+G12+H12+I12+J12+K12</f>
        <v>70096953</v>
      </c>
      <c r="D12" s="17">
        <v>2153918</v>
      </c>
      <c r="E12" s="17">
        <v>9500317</v>
      </c>
      <c r="F12" s="17">
        <v>0</v>
      </c>
      <c r="G12" s="17">
        <v>18641707</v>
      </c>
      <c r="H12" s="17">
        <v>0</v>
      </c>
      <c r="I12" s="17">
        <v>4370445</v>
      </c>
      <c r="J12" s="17">
        <v>28638803</v>
      </c>
      <c r="K12" s="64">
        <v>6791763</v>
      </c>
    </row>
    <row r="13" spans="2:11" ht="15.75" x14ac:dyDescent="0.25">
      <c r="B13" s="20" t="s">
        <v>16</v>
      </c>
      <c r="C13" s="16">
        <f>D13+E13+F13+G13+H13+I13+J13+K13</f>
        <v>9526754</v>
      </c>
      <c r="D13" s="17">
        <v>0</v>
      </c>
      <c r="E13" s="17">
        <v>0</v>
      </c>
      <c r="F13" s="17">
        <v>0</v>
      </c>
      <c r="G13" s="17">
        <v>8964814</v>
      </c>
      <c r="H13" s="17">
        <v>561940</v>
      </c>
      <c r="I13" s="17">
        <v>0</v>
      </c>
      <c r="J13" s="17">
        <v>0</v>
      </c>
      <c r="K13" s="64">
        <v>0</v>
      </c>
    </row>
    <row r="14" spans="2:11" ht="15.75" x14ac:dyDescent="0.25">
      <c r="B14" s="20"/>
      <c r="C14" s="16"/>
      <c r="D14" s="17"/>
      <c r="E14" s="17"/>
      <c r="F14" s="17"/>
      <c r="G14" s="17"/>
      <c r="H14" s="17"/>
      <c r="I14" s="17"/>
      <c r="J14" s="17"/>
      <c r="K14" s="64"/>
    </row>
    <row r="15" spans="2:11" ht="15.75" x14ac:dyDescent="0.25">
      <c r="B15" s="20" t="s">
        <v>17</v>
      </c>
      <c r="C15" s="16">
        <f>D15+E15+F15+G15+H15+I15+J15+K15</f>
        <v>4749334</v>
      </c>
      <c r="D15" s="17">
        <v>187325</v>
      </c>
      <c r="E15" s="17">
        <v>556371</v>
      </c>
      <c r="F15" s="17">
        <v>0</v>
      </c>
      <c r="G15" s="17">
        <v>1507408</v>
      </c>
      <c r="H15" s="17">
        <v>2498230</v>
      </c>
      <c r="I15" s="17">
        <v>0</v>
      </c>
      <c r="J15" s="17">
        <v>0</v>
      </c>
      <c r="K15" s="64">
        <v>0</v>
      </c>
    </row>
    <row r="16" spans="2:11" ht="15.75" x14ac:dyDescent="0.25">
      <c r="B16" s="20"/>
      <c r="C16" s="16"/>
      <c r="D16" s="17"/>
      <c r="E16" s="17"/>
      <c r="F16" s="17"/>
      <c r="G16" s="17"/>
      <c r="H16" s="17"/>
      <c r="I16" s="17"/>
      <c r="J16" s="17"/>
      <c r="K16" s="64"/>
    </row>
    <row r="17" spans="2:11" ht="15.75" x14ac:dyDescent="0.25">
      <c r="B17" s="20" t="s">
        <v>18</v>
      </c>
      <c r="C17" s="16">
        <f>D17+E17+F17+G17+H17+I17+J17+K17</f>
        <v>12467314</v>
      </c>
      <c r="D17" s="17">
        <v>379383</v>
      </c>
      <c r="E17" s="17">
        <v>1024107</v>
      </c>
      <c r="F17" s="17">
        <v>0</v>
      </c>
      <c r="G17" s="17">
        <v>5505790</v>
      </c>
      <c r="H17" s="17">
        <v>5558034</v>
      </c>
      <c r="I17" s="17">
        <v>0</v>
      </c>
      <c r="J17" s="17">
        <v>0</v>
      </c>
      <c r="K17" s="64">
        <v>0</v>
      </c>
    </row>
    <row r="18" spans="2:11" ht="15.75" x14ac:dyDescent="0.25">
      <c r="B18" s="20"/>
      <c r="C18" s="16"/>
      <c r="D18" s="17"/>
      <c r="E18" s="17"/>
      <c r="F18" s="17"/>
      <c r="G18" s="17"/>
      <c r="H18" s="17"/>
      <c r="I18" s="17"/>
      <c r="J18" s="17"/>
      <c r="K18" s="64"/>
    </row>
    <row r="19" spans="2:11" ht="15.75" x14ac:dyDescent="0.25">
      <c r="B19" s="20" t="s">
        <v>19</v>
      </c>
      <c r="C19" s="16">
        <f>D19+E19+F19+G19+H19+I19+J19+K19</f>
        <v>26147783</v>
      </c>
      <c r="D19" s="17">
        <v>543287</v>
      </c>
      <c r="E19" s="17">
        <v>2694324</v>
      </c>
      <c r="F19" s="17">
        <v>9406</v>
      </c>
      <c r="G19" s="17">
        <v>8516123</v>
      </c>
      <c r="H19" s="17">
        <v>2063911</v>
      </c>
      <c r="I19" s="17">
        <v>771539</v>
      </c>
      <c r="J19" s="17">
        <v>7896450</v>
      </c>
      <c r="K19" s="64">
        <v>3652743</v>
      </c>
    </row>
    <row r="20" spans="2:11" ht="15.75" x14ac:dyDescent="0.25">
      <c r="B20" s="20"/>
      <c r="C20" s="16"/>
      <c r="D20" s="17"/>
      <c r="E20" s="17"/>
      <c r="F20" s="17"/>
      <c r="G20" s="17"/>
      <c r="H20" s="17"/>
      <c r="I20" s="17"/>
      <c r="J20" s="17"/>
      <c r="K20" s="64"/>
    </row>
    <row r="21" spans="2:11" ht="15.75" x14ac:dyDescent="0.25">
      <c r="B21" s="20" t="s">
        <v>20</v>
      </c>
      <c r="C21" s="16">
        <f>D21+E21+F21+G21+H21+I21+J21+K21</f>
        <v>20449019</v>
      </c>
      <c r="D21" s="17">
        <v>462125</v>
      </c>
      <c r="E21" s="17">
        <v>1997870</v>
      </c>
      <c r="F21" s="17">
        <v>0</v>
      </c>
      <c r="G21" s="17">
        <v>9549751</v>
      </c>
      <c r="H21" s="17">
        <v>235983</v>
      </c>
      <c r="I21" s="17">
        <v>924591</v>
      </c>
      <c r="J21" s="17">
        <v>7278699</v>
      </c>
      <c r="K21" s="64">
        <v>0</v>
      </c>
    </row>
    <row r="22" spans="2:11" ht="15.75" x14ac:dyDescent="0.25">
      <c r="B22" s="20"/>
      <c r="C22" s="16"/>
      <c r="D22" s="17"/>
      <c r="E22" s="17"/>
      <c r="F22" s="17"/>
      <c r="G22" s="17"/>
      <c r="H22" s="17"/>
      <c r="I22" s="17"/>
      <c r="J22" s="17"/>
      <c r="K22" s="64"/>
    </row>
    <row r="23" spans="2:11" ht="15.75" x14ac:dyDescent="0.25">
      <c r="B23" s="20" t="s">
        <v>21</v>
      </c>
      <c r="C23" s="16">
        <f>D23+E23+F23+G23+H23+I23+J23+K23</f>
        <v>3872535</v>
      </c>
      <c r="D23" s="17">
        <v>101718</v>
      </c>
      <c r="E23" s="17">
        <v>561333</v>
      </c>
      <c r="F23" s="17">
        <v>0</v>
      </c>
      <c r="G23" s="17">
        <v>1691707</v>
      </c>
      <c r="H23" s="17">
        <v>1517777</v>
      </c>
      <c r="I23" s="17">
        <v>0</v>
      </c>
      <c r="J23" s="17">
        <v>0</v>
      </c>
      <c r="K23" s="64">
        <v>0</v>
      </c>
    </row>
    <row r="24" spans="2:11" ht="15.75" x14ac:dyDescent="0.25">
      <c r="B24" s="20"/>
      <c r="C24" s="16"/>
      <c r="D24" s="17"/>
      <c r="E24" s="17"/>
      <c r="F24" s="17"/>
      <c r="G24" s="17"/>
      <c r="H24" s="17"/>
      <c r="I24" s="17"/>
      <c r="J24" s="17"/>
      <c r="K24" s="64"/>
    </row>
    <row r="25" spans="2:11" ht="15.75" x14ac:dyDescent="0.25">
      <c r="B25" s="20" t="s">
        <v>22</v>
      </c>
      <c r="C25" s="16">
        <f>D25+E25+F25+G25+H25+I25+J25+K25</f>
        <v>470963</v>
      </c>
      <c r="D25" s="17">
        <v>0</v>
      </c>
      <c r="E25" s="17">
        <v>33952</v>
      </c>
      <c r="F25" s="17">
        <v>0</v>
      </c>
      <c r="G25" s="17">
        <v>102865</v>
      </c>
      <c r="H25" s="17">
        <v>334146</v>
      </c>
      <c r="I25" s="17">
        <v>0</v>
      </c>
      <c r="J25" s="17">
        <v>0</v>
      </c>
      <c r="K25" s="64">
        <v>0</v>
      </c>
    </row>
    <row r="26" spans="2:11" ht="15.75" x14ac:dyDescent="0.25">
      <c r="B26" s="20"/>
      <c r="C26" s="16"/>
      <c r="D26" s="17"/>
      <c r="E26" s="17"/>
      <c r="F26" s="17"/>
      <c r="G26" s="17"/>
      <c r="H26" s="17"/>
      <c r="I26" s="17"/>
      <c r="J26" s="17"/>
      <c r="K26" s="64"/>
    </row>
    <row r="27" spans="2:11" ht="15.75" x14ac:dyDescent="0.25">
      <c r="B27" s="65" t="s">
        <v>3</v>
      </c>
      <c r="C27" s="16">
        <f>C8+C10+C12+C13+C15+C17+C19+C21+C23+C25</f>
        <v>312025036</v>
      </c>
      <c r="D27" s="16">
        <f t="shared" ref="D27:K27" si="0">D8+D10+D12+D13+D15+D17+D19+D21+D23+D25</f>
        <v>8946644</v>
      </c>
      <c r="E27" s="16">
        <f t="shared" si="0"/>
        <v>35849865</v>
      </c>
      <c r="F27" s="16">
        <f t="shared" si="0"/>
        <v>45969</v>
      </c>
      <c r="G27" s="16">
        <f t="shared" si="0"/>
        <v>112848827</v>
      </c>
      <c r="H27" s="16">
        <f t="shared" si="0"/>
        <v>18169704</v>
      </c>
      <c r="I27" s="16">
        <f t="shared" si="0"/>
        <v>24077892</v>
      </c>
      <c r="J27" s="16">
        <f t="shared" si="0"/>
        <v>87242577</v>
      </c>
      <c r="K27" s="66">
        <f t="shared" si="0"/>
        <v>24843558</v>
      </c>
    </row>
    <row r="28" spans="2:11" ht="16.5" thickBot="1" x14ac:dyDescent="0.3">
      <c r="B28" s="25"/>
      <c r="C28" s="26"/>
      <c r="D28" s="27"/>
      <c r="E28" s="27"/>
      <c r="F28" s="27"/>
      <c r="G28" s="27"/>
      <c r="H28" s="27"/>
      <c r="I28" s="27"/>
      <c r="J28" s="27"/>
      <c r="K28" s="67"/>
    </row>
    <row r="29" spans="2:11" ht="16.5" thickTop="1" x14ac:dyDescent="0.25">
      <c r="B29" s="1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5.75" x14ac:dyDescent="0.25">
      <c r="B30" s="33" t="s">
        <v>23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2:11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2" t="s">
        <v>0</v>
      </c>
      <c r="C33" s="3"/>
      <c r="D33" s="3"/>
      <c r="E33" s="7"/>
      <c r="F33" s="3"/>
      <c r="G33" s="7"/>
      <c r="H33" s="7"/>
      <c r="I33" s="7"/>
      <c r="J33" s="7"/>
      <c r="K33" s="7"/>
    </row>
    <row r="34" spans="2:11" ht="15.75" x14ac:dyDescent="0.25">
      <c r="B34" s="1"/>
      <c r="C34" s="36"/>
      <c r="E34" s="38"/>
      <c r="F34" s="38"/>
      <c r="G34" s="39" t="s">
        <v>1</v>
      </c>
      <c r="H34" s="38"/>
      <c r="I34" s="38"/>
      <c r="J34" s="38"/>
      <c r="K34" s="38"/>
    </row>
    <row r="35" spans="2:11" ht="15.75" x14ac:dyDescent="0.25">
      <c r="B35" s="6" t="s">
        <v>46</v>
      </c>
      <c r="C35" s="3"/>
      <c r="D35" s="3"/>
      <c r="E35" s="7"/>
      <c r="F35" s="3"/>
      <c r="G35" s="7"/>
      <c r="H35" s="7"/>
      <c r="I35" s="7"/>
      <c r="J35" s="7"/>
      <c r="K35" s="7"/>
    </row>
    <row r="36" spans="2:11" ht="16.5" thickBot="1" x14ac:dyDescent="0.3">
      <c r="B36" s="1"/>
      <c r="C36" s="36"/>
      <c r="D36" s="38"/>
      <c r="E36" s="38"/>
      <c r="F36" s="38"/>
      <c r="G36" s="38"/>
      <c r="H36" s="38"/>
      <c r="I36" s="38"/>
      <c r="J36" s="38"/>
      <c r="K36" s="38"/>
    </row>
    <row r="37" spans="2:11" ht="16.5" thickTop="1" x14ac:dyDescent="0.25">
      <c r="B37" s="41" t="s">
        <v>24</v>
      </c>
      <c r="C37" s="42" t="s">
        <v>3</v>
      </c>
      <c r="D37" s="62" t="s">
        <v>43</v>
      </c>
      <c r="E37" s="62" t="s">
        <v>40</v>
      </c>
      <c r="F37" s="43" t="s">
        <v>6</v>
      </c>
      <c r="G37" s="43" t="s">
        <v>7</v>
      </c>
      <c r="H37" s="43" t="s">
        <v>8</v>
      </c>
      <c r="I37" s="43" t="s">
        <v>25</v>
      </c>
      <c r="J37" s="44" t="s">
        <v>10</v>
      </c>
      <c r="K37" s="63" t="s">
        <v>11</v>
      </c>
    </row>
    <row r="38" spans="2:11" ht="15.75" x14ac:dyDescent="0.25">
      <c r="B38" s="45"/>
      <c r="C38" s="46"/>
      <c r="D38" s="47"/>
      <c r="E38" s="47"/>
      <c r="F38" s="47"/>
      <c r="G38" s="47"/>
      <c r="H38" s="47"/>
      <c r="I38" s="47"/>
      <c r="J38" s="48"/>
      <c r="K38" s="68"/>
    </row>
    <row r="39" spans="2:11" ht="15.75" x14ac:dyDescent="0.25">
      <c r="B39" s="45" t="s">
        <v>26</v>
      </c>
      <c r="C39" s="49">
        <f>SUM(D39:K39)</f>
        <v>24923523</v>
      </c>
      <c r="D39" s="50">
        <v>691746</v>
      </c>
      <c r="E39" s="50">
        <v>2355367</v>
      </c>
      <c r="F39" s="50">
        <v>11004</v>
      </c>
      <c r="G39" s="50">
        <v>8826395</v>
      </c>
      <c r="H39" s="50">
        <v>1649249</v>
      </c>
      <c r="I39" s="50">
        <v>1661611</v>
      </c>
      <c r="J39" s="51">
        <v>7909710</v>
      </c>
      <c r="K39" s="69">
        <v>1818441</v>
      </c>
    </row>
    <row r="40" spans="2:11" ht="15.75" x14ac:dyDescent="0.25">
      <c r="B40" s="45" t="s">
        <v>27</v>
      </c>
      <c r="C40" s="49">
        <f>SUM(D40:K40)</f>
        <v>22934995</v>
      </c>
      <c r="D40" s="50">
        <v>767948</v>
      </c>
      <c r="E40" s="50">
        <v>2768547</v>
      </c>
      <c r="F40" s="50">
        <v>5796</v>
      </c>
      <c r="G40" s="50">
        <v>8342673</v>
      </c>
      <c r="H40" s="50">
        <v>1805710</v>
      </c>
      <c r="I40" s="50">
        <v>2110386</v>
      </c>
      <c r="J40" s="51">
        <v>5320670</v>
      </c>
      <c r="K40" s="69">
        <v>1813265</v>
      </c>
    </row>
    <row r="41" spans="2:11" ht="15.75" x14ac:dyDescent="0.25">
      <c r="B41" s="45" t="s">
        <v>28</v>
      </c>
      <c r="C41" s="49">
        <f>SUM(D41:K41)</f>
        <v>22186462</v>
      </c>
      <c r="D41" s="50">
        <v>707418</v>
      </c>
      <c r="E41" s="50">
        <v>2771076</v>
      </c>
      <c r="F41" s="50">
        <v>200</v>
      </c>
      <c r="G41" s="50">
        <v>8399401</v>
      </c>
      <c r="H41" s="50">
        <v>1265974</v>
      </c>
      <c r="I41" s="50">
        <v>1096799</v>
      </c>
      <c r="J41" s="51">
        <v>6112803</v>
      </c>
      <c r="K41" s="69">
        <v>1832791</v>
      </c>
    </row>
    <row r="42" spans="2:11" ht="15.75" x14ac:dyDescent="0.25">
      <c r="B42" s="45"/>
      <c r="C42" s="49">
        <f t="shared" ref="C42:I42" si="1">C39+C40+C41</f>
        <v>70044980</v>
      </c>
      <c r="D42" s="50">
        <f t="shared" si="1"/>
        <v>2167112</v>
      </c>
      <c r="E42" s="50">
        <f t="shared" si="1"/>
        <v>7894990</v>
      </c>
      <c r="F42" s="50">
        <f t="shared" si="1"/>
        <v>17000</v>
      </c>
      <c r="G42" s="50">
        <f t="shared" si="1"/>
        <v>25568469</v>
      </c>
      <c r="H42" s="50">
        <f t="shared" si="1"/>
        <v>4720933</v>
      </c>
      <c r="I42" s="50">
        <f t="shared" si="1"/>
        <v>4868796</v>
      </c>
      <c r="J42" s="51">
        <f>J39+J40+J41</f>
        <v>19343183</v>
      </c>
      <c r="K42" s="69">
        <f>K39+K40+K41</f>
        <v>5464497</v>
      </c>
    </row>
    <row r="43" spans="2:11" ht="15.75" x14ac:dyDescent="0.25">
      <c r="B43" s="45" t="s">
        <v>29</v>
      </c>
      <c r="C43" s="49">
        <f>SUM(D43:K43)</f>
        <v>28949133</v>
      </c>
      <c r="D43" s="50">
        <v>914784</v>
      </c>
      <c r="E43" s="50">
        <v>3223092</v>
      </c>
      <c r="F43" s="50">
        <v>2077</v>
      </c>
      <c r="G43" s="50">
        <v>10316952</v>
      </c>
      <c r="H43" s="50">
        <v>1510694</v>
      </c>
      <c r="I43" s="50">
        <v>2325741</v>
      </c>
      <c r="J43" s="51">
        <v>7036146</v>
      </c>
      <c r="K43" s="69">
        <v>3619647</v>
      </c>
    </row>
    <row r="44" spans="2:11" ht="15.75" x14ac:dyDescent="0.25">
      <c r="B44" s="45" t="s">
        <v>30</v>
      </c>
      <c r="C44" s="49">
        <f>SUM(D44:K44)</f>
        <v>27884561</v>
      </c>
      <c r="D44" s="50">
        <v>777440</v>
      </c>
      <c r="E44" s="50">
        <v>3002377</v>
      </c>
      <c r="F44" s="50">
        <v>1990</v>
      </c>
      <c r="G44" s="50">
        <v>10727328</v>
      </c>
      <c r="H44" s="50">
        <v>1415502</v>
      </c>
      <c r="I44" s="50">
        <v>3855404</v>
      </c>
      <c r="J44" s="51">
        <v>6317794</v>
      </c>
      <c r="K44" s="69">
        <v>1786726</v>
      </c>
    </row>
    <row r="45" spans="2:11" ht="15.75" x14ac:dyDescent="0.25">
      <c r="B45" s="45" t="s">
        <v>31</v>
      </c>
      <c r="C45" s="49">
        <f>SUM(D45:K45)</f>
        <v>24800615</v>
      </c>
      <c r="D45" s="50">
        <v>677524</v>
      </c>
      <c r="E45" s="50">
        <v>2841008</v>
      </c>
      <c r="F45" s="50">
        <v>4770</v>
      </c>
      <c r="G45" s="50">
        <v>9064406</v>
      </c>
      <c r="H45" s="50">
        <v>1373343</v>
      </c>
      <c r="I45" s="50">
        <v>1316299</v>
      </c>
      <c r="J45" s="51">
        <v>7800293</v>
      </c>
      <c r="K45" s="69">
        <v>1722972</v>
      </c>
    </row>
    <row r="46" spans="2:11" ht="15.75" x14ac:dyDescent="0.25">
      <c r="B46" s="45"/>
      <c r="C46" s="49">
        <f t="shared" ref="C46:I46" si="2">C43+C44+C45</f>
        <v>81634309</v>
      </c>
      <c r="D46" s="50">
        <f t="shared" si="2"/>
        <v>2369748</v>
      </c>
      <c r="E46" s="50">
        <f t="shared" si="2"/>
        <v>9066477</v>
      </c>
      <c r="F46" s="50">
        <f t="shared" si="2"/>
        <v>8837</v>
      </c>
      <c r="G46" s="50">
        <f t="shared" si="2"/>
        <v>30108686</v>
      </c>
      <c r="H46" s="50">
        <f t="shared" si="2"/>
        <v>4299539</v>
      </c>
      <c r="I46" s="50">
        <f t="shared" si="2"/>
        <v>7497444</v>
      </c>
      <c r="J46" s="51">
        <f>J43+J44+J45</f>
        <v>21154233</v>
      </c>
      <c r="K46" s="69">
        <f>K43+K44+K45</f>
        <v>7129345</v>
      </c>
    </row>
    <row r="47" spans="2:11" ht="15.75" x14ac:dyDescent="0.25">
      <c r="B47" s="45" t="s">
        <v>32</v>
      </c>
      <c r="C47" s="49">
        <f>SUM(D47:K47)</f>
        <v>29382617</v>
      </c>
      <c r="D47" s="50">
        <v>919042</v>
      </c>
      <c r="E47" s="50">
        <v>3673877</v>
      </c>
      <c r="F47" s="50">
        <v>10918</v>
      </c>
      <c r="G47" s="50">
        <v>10707096</v>
      </c>
      <c r="H47" s="50">
        <v>1679693</v>
      </c>
      <c r="I47" s="50">
        <v>2460948</v>
      </c>
      <c r="J47" s="51">
        <v>8126558</v>
      </c>
      <c r="K47" s="69">
        <v>1804485</v>
      </c>
    </row>
    <row r="48" spans="2:11" ht="15.75" x14ac:dyDescent="0.25">
      <c r="B48" s="45" t="s">
        <v>41</v>
      </c>
      <c r="C48" s="49">
        <f>SUM(D48:K48)</f>
        <v>26796353</v>
      </c>
      <c r="D48" s="50">
        <v>793183</v>
      </c>
      <c r="E48" s="50">
        <v>3367237</v>
      </c>
      <c r="F48" s="50">
        <v>397</v>
      </c>
      <c r="G48" s="50">
        <v>9679276</v>
      </c>
      <c r="H48" s="50">
        <v>1612495</v>
      </c>
      <c r="I48" s="50">
        <v>1758220</v>
      </c>
      <c r="J48" s="51">
        <v>8008664</v>
      </c>
      <c r="K48" s="69">
        <v>1576881</v>
      </c>
    </row>
    <row r="49" spans="2:11" ht="15.75" x14ac:dyDescent="0.25">
      <c r="B49" s="45" t="s">
        <v>34</v>
      </c>
      <c r="C49" s="49">
        <f>SUM(D49:K49)</f>
        <v>26020281</v>
      </c>
      <c r="D49" s="50">
        <v>720094</v>
      </c>
      <c r="E49" s="50">
        <v>3350442</v>
      </c>
      <c r="F49" s="50">
        <v>992</v>
      </c>
      <c r="G49" s="50">
        <v>9982078</v>
      </c>
      <c r="H49" s="50">
        <v>1569197</v>
      </c>
      <c r="I49" s="50">
        <v>1772679</v>
      </c>
      <c r="J49" s="51">
        <v>6821322</v>
      </c>
      <c r="K49" s="69">
        <v>1803477</v>
      </c>
    </row>
    <row r="50" spans="2:11" ht="15.75" x14ac:dyDescent="0.25">
      <c r="B50" s="45"/>
      <c r="C50" s="49">
        <f t="shared" ref="C50:K50" si="3">C47+C48+C49</f>
        <v>82199251</v>
      </c>
      <c r="D50" s="50">
        <f t="shared" si="3"/>
        <v>2432319</v>
      </c>
      <c r="E50" s="50">
        <f t="shared" si="3"/>
        <v>10391556</v>
      </c>
      <c r="F50" s="50">
        <f t="shared" si="3"/>
        <v>12307</v>
      </c>
      <c r="G50" s="50">
        <f t="shared" si="3"/>
        <v>30368450</v>
      </c>
      <c r="H50" s="50">
        <f t="shared" si="3"/>
        <v>4861385</v>
      </c>
      <c r="I50" s="50">
        <f t="shared" si="3"/>
        <v>5991847</v>
      </c>
      <c r="J50" s="51">
        <f t="shared" si="3"/>
        <v>22956544</v>
      </c>
      <c r="K50" s="69">
        <f t="shared" si="3"/>
        <v>5184843</v>
      </c>
    </row>
    <row r="51" spans="2:11" ht="15.75" x14ac:dyDescent="0.25">
      <c r="B51" s="45" t="s">
        <v>35</v>
      </c>
      <c r="C51" s="49">
        <f>SUM(D51:K51)</f>
        <v>25890842</v>
      </c>
      <c r="D51" s="50">
        <v>796301</v>
      </c>
      <c r="E51" s="50">
        <v>2853407</v>
      </c>
      <c r="F51" s="50">
        <v>1695</v>
      </c>
      <c r="G51" s="50">
        <v>9586425</v>
      </c>
      <c r="H51" s="50">
        <v>1472873</v>
      </c>
      <c r="I51" s="50">
        <v>1858405</v>
      </c>
      <c r="J51" s="51">
        <v>7558350</v>
      </c>
      <c r="K51" s="69">
        <v>1763386</v>
      </c>
    </row>
    <row r="52" spans="2:11" ht="15.75" x14ac:dyDescent="0.25">
      <c r="B52" s="45" t="s">
        <v>36</v>
      </c>
      <c r="C52" s="49">
        <f>SUM(D52:K52)</f>
        <v>25769817</v>
      </c>
      <c r="D52" s="50">
        <v>616272</v>
      </c>
      <c r="E52" s="50">
        <v>2768935</v>
      </c>
      <c r="F52" s="50">
        <v>5130</v>
      </c>
      <c r="G52" s="50">
        <v>8295473</v>
      </c>
      <c r="H52" s="50">
        <v>1327673</v>
      </c>
      <c r="I52" s="50">
        <v>1539284</v>
      </c>
      <c r="J52" s="51">
        <v>9466211</v>
      </c>
      <c r="K52" s="69">
        <v>1750839</v>
      </c>
    </row>
    <row r="53" spans="2:11" ht="15.75" x14ac:dyDescent="0.25">
      <c r="B53" s="45" t="s">
        <v>37</v>
      </c>
      <c r="C53" s="49">
        <f>SUM(D53:K53)</f>
        <v>26485837</v>
      </c>
      <c r="D53" s="50">
        <v>564892</v>
      </c>
      <c r="E53" s="50">
        <v>2874500</v>
      </c>
      <c r="F53" s="50">
        <v>1000</v>
      </c>
      <c r="G53" s="50">
        <v>8921324</v>
      </c>
      <c r="H53" s="50">
        <v>1487301</v>
      </c>
      <c r="I53" s="50">
        <v>2322116</v>
      </c>
      <c r="J53" s="51">
        <v>6764056</v>
      </c>
      <c r="K53" s="69">
        <v>3550648</v>
      </c>
    </row>
    <row r="54" spans="2:11" ht="15.75" x14ac:dyDescent="0.25">
      <c r="B54" s="45"/>
      <c r="C54" s="49">
        <f t="shared" ref="C54:K54" si="4">C51+C52+C53</f>
        <v>78146496</v>
      </c>
      <c r="D54" s="50">
        <f t="shared" si="4"/>
        <v>1977465</v>
      </c>
      <c r="E54" s="50">
        <f t="shared" si="4"/>
        <v>8496842</v>
      </c>
      <c r="F54" s="50">
        <f t="shared" si="4"/>
        <v>7825</v>
      </c>
      <c r="G54" s="50">
        <f t="shared" si="4"/>
        <v>26803222</v>
      </c>
      <c r="H54" s="50">
        <f t="shared" si="4"/>
        <v>4287847</v>
      </c>
      <c r="I54" s="50">
        <f t="shared" si="4"/>
        <v>5719805</v>
      </c>
      <c r="J54" s="51">
        <f t="shared" si="4"/>
        <v>23788617</v>
      </c>
      <c r="K54" s="69">
        <f t="shared" si="4"/>
        <v>7064873</v>
      </c>
    </row>
    <row r="55" spans="2:11" ht="15" x14ac:dyDescent="0.25">
      <c r="B55" s="70" t="s">
        <v>38</v>
      </c>
      <c r="C55" s="49">
        <f t="shared" ref="C55:K55" si="5">C39+C40+C41+C43+C44+C45+C47+C48+C49+C51+C52+C53</f>
        <v>312025036</v>
      </c>
      <c r="D55" s="50">
        <f t="shared" si="5"/>
        <v>8946644</v>
      </c>
      <c r="E55" s="50">
        <f t="shared" si="5"/>
        <v>35849865</v>
      </c>
      <c r="F55" s="50">
        <f t="shared" si="5"/>
        <v>45969</v>
      </c>
      <c r="G55" s="50">
        <f t="shared" si="5"/>
        <v>112848827</v>
      </c>
      <c r="H55" s="50">
        <f t="shared" si="5"/>
        <v>18169704</v>
      </c>
      <c r="I55" s="50">
        <f t="shared" si="5"/>
        <v>24077892</v>
      </c>
      <c r="J55" s="51">
        <f t="shared" si="5"/>
        <v>87242577</v>
      </c>
      <c r="K55" s="69">
        <f t="shared" si="5"/>
        <v>24843558</v>
      </c>
    </row>
    <row r="56" spans="2:11" ht="16.5" thickBot="1" x14ac:dyDescent="0.3">
      <c r="B56" s="58"/>
      <c r="C56" s="26"/>
      <c r="D56" s="27"/>
      <c r="E56" s="27"/>
      <c r="F56" s="27"/>
      <c r="G56" s="27"/>
      <c r="H56" s="27"/>
      <c r="I56" s="27"/>
      <c r="J56" s="28"/>
      <c r="K56" s="67"/>
    </row>
    <row r="57" spans="2:11" ht="16.5" thickTop="1" x14ac:dyDescent="0.25">
      <c r="B57" s="1"/>
      <c r="C57" s="59"/>
      <c r="D57" s="60"/>
      <c r="E57" s="60"/>
      <c r="F57" s="60"/>
      <c r="G57" s="60"/>
      <c r="H57" s="60"/>
      <c r="I57" s="60"/>
      <c r="J57" s="60"/>
      <c r="K57" s="60"/>
    </row>
    <row r="58" spans="2:11" ht="15.75" x14ac:dyDescent="0.25">
      <c r="B58" s="33" t="s">
        <v>23</v>
      </c>
      <c r="C58" s="59"/>
      <c r="D58" s="60"/>
      <c r="E58" s="60"/>
      <c r="F58" s="60"/>
      <c r="G58" s="60"/>
      <c r="H58" s="60"/>
      <c r="I58" s="60"/>
      <c r="J58" s="60"/>
      <c r="K58" s="60"/>
    </row>
  </sheetData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58"/>
  <sheetViews>
    <sheetView topLeftCell="A4" workbookViewId="0">
      <selection activeCell="D27" sqref="D27:K27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2" spans="2:11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</row>
    <row r="3" spans="2:11" ht="15.75" x14ac:dyDescent="0.25">
      <c r="B3" s="1"/>
      <c r="C3" s="5"/>
      <c r="D3" s="2"/>
      <c r="E3" s="2"/>
      <c r="F3" s="2"/>
      <c r="G3" s="2" t="s">
        <v>1</v>
      </c>
      <c r="H3" s="2"/>
      <c r="I3" s="2"/>
      <c r="J3" s="2"/>
      <c r="K3" s="2"/>
    </row>
    <row r="4" spans="2:11" ht="15.75" x14ac:dyDescent="0.25">
      <c r="B4" s="6" t="s">
        <v>47</v>
      </c>
      <c r="C4" s="3"/>
      <c r="D4" s="3"/>
      <c r="E4" s="7"/>
      <c r="F4" s="3"/>
      <c r="G4" s="7"/>
      <c r="H4" s="7"/>
      <c r="I4" s="7"/>
      <c r="J4" s="7"/>
      <c r="K4" s="7"/>
    </row>
    <row r="5" spans="2:11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9"/>
    </row>
    <row r="6" spans="2:11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63" t="s">
        <v>11</v>
      </c>
    </row>
    <row r="7" spans="2:11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64"/>
    </row>
    <row r="8" spans="2:11" ht="15.75" x14ac:dyDescent="0.25">
      <c r="B8" s="20" t="s">
        <v>13</v>
      </c>
      <c r="C8" s="16">
        <f>D8+E8+F8+G8+H8+I8+J8+K8</f>
        <v>169975587</v>
      </c>
      <c r="D8" s="17">
        <v>3148449</v>
      </c>
      <c r="E8" s="17">
        <v>21389379</v>
      </c>
      <c r="F8" s="17">
        <v>16122</v>
      </c>
      <c r="G8" s="17">
        <v>56276557</v>
      </c>
      <c r="H8" s="17">
        <v>588889</v>
      </c>
      <c r="I8" s="17">
        <v>16784676</v>
      </c>
      <c r="J8" s="17">
        <v>57381037</v>
      </c>
      <c r="K8" s="64">
        <v>14390478</v>
      </c>
    </row>
    <row r="9" spans="2:11" ht="15.75" x14ac:dyDescent="0.25">
      <c r="B9" s="20"/>
      <c r="C9" s="16"/>
      <c r="D9" s="17"/>
      <c r="E9" s="17"/>
      <c r="F9" s="17"/>
      <c r="G9" s="17"/>
      <c r="H9" s="17"/>
      <c r="I9" s="17"/>
      <c r="J9" s="17"/>
      <c r="K9" s="64"/>
    </row>
    <row r="10" spans="2:11" ht="15.75" x14ac:dyDescent="0.25">
      <c r="B10" s="20" t="s">
        <v>14</v>
      </c>
      <c r="C10" s="16">
        <f>D10+E10+F10+G10+H10+I10+J10+K10</f>
        <v>7812704</v>
      </c>
      <c r="D10" s="17">
        <v>153614</v>
      </c>
      <c r="E10" s="17">
        <v>1102157</v>
      </c>
      <c r="F10" s="17">
        <v>7393</v>
      </c>
      <c r="G10" s="17">
        <v>2073648</v>
      </c>
      <c r="H10" s="17">
        <v>4475892</v>
      </c>
      <c r="I10" s="17">
        <v>0</v>
      </c>
      <c r="J10" s="17">
        <v>0</v>
      </c>
      <c r="K10" s="64">
        <v>0</v>
      </c>
    </row>
    <row r="11" spans="2:11" ht="15.75" x14ac:dyDescent="0.25">
      <c r="B11" s="20"/>
      <c r="C11" s="16"/>
      <c r="D11" s="17"/>
      <c r="E11" s="17"/>
      <c r="F11" s="17"/>
      <c r="G11" s="17"/>
      <c r="H11" s="17"/>
      <c r="I11" s="17"/>
      <c r="J11" s="17"/>
      <c r="K11" s="64"/>
    </row>
    <row r="12" spans="2:11" ht="15.75" x14ac:dyDescent="0.25">
      <c r="B12" s="20" t="s">
        <v>15</v>
      </c>
      <c r="C12" s="16">
        <f>D12+E12+F12+G12+H12+I12+J12+K12</f>
        <v>70727664</v>
      </c>
      <c r="D12" s="17">
        <v>1359409</v>
      </c>
      <c r="E12" s="17">
        <v>10562423</v>
      </c>
      <c r="F12" s="17">
        <v>0</v>
      </c>
      <c r="G12" s="17">
        <v>16231700</v>
      </c>
      <c r="H12" s="17">
        <v>134768</v>
      </c>
      <c r="I12" s="17">
        <v>33929639</v>
      </c>
      <c r="J12" s="17">
        <v>1522946</v>
      </c>
      <c r="K12" s="64">
        <v>6986779</v>
      </c>
    </row>
    <row r="13" spans="2:11" ht="15.75" x14ac:dyDescent="0.25">
      <c r="B13" s="20" t="s">
        <v>16</v>
      </c>
      <c r="C13" s="16">
        <f>D13+E13+F13+G13+H13+I13+J13+K13</f>
        <v>21348881</v>
      </c>
      <c r="D13" s="17">
        <v>0</v>
      </c>
      <c r="E13" s="17">
        <v>0</v>
      </c>
      <c r="F13" s="17">
        <v>0</v>
      </c>
      <c r="G13" s="17">
        <v>16778867</v>
      </c>
      <c r="H13" s="17">
        <v>4570014</v>
      </c>
      <c r="I13" s="17">
        <v>0</v>
      </c>
      <c r="J13" s="17">
        <v>0</v>
      </c>
      <c r="K13" s="64">
        <v>0</v>
      </c>
    </row>
    <row r="14" spans="2:11" ht="15.75" x14ac:dyDescent="0.25">
      <c r="B14" s="20"/>
      <c r="C14" s="16"/>
      <c r="D14" s="17"/>
      <c r="E14" s="17"/>
      <c r="F14" s="17"/>
      <c r="G14" s="17"/>
      <c r="H14" s="17"/>
      <c r="I14" s="17"/>
      <c r="J14" s="17"/>
      <c r="K14" s="64"/>
    </row>
    <row r="15" spans="2:11" ht="15.75" x14ac:dyDescent="0.25">
      <c r="B15" s="20" t="s">
        <v>17</v>
      </c>
      <c r="C15" s="16">
        <f>D15+E15+F15+G15+H15+I15+J15+K15</f>
        <v>5413496</v>
      </c>
      <c r="D15" s="17">
        <v>85599</v>
      </c>
      <c r="E15" s="17">
        <v>620024</v>
      </c>
      <c r="F15" s="17">
        <v>0</v>
      </c>
      <c r="G15" s="17">
        <v>1987501</v>
      </c>
      <c r="H15" s="17">
        <v>2720372</v>
      </c>
      <c r="I15" s="17">
        <v>0</v>
      </c>
      <c r="J15" s="17">
        <v>0</v>
      </c>
      <c r="K15" s="64">
        <v>0</v>
      </c>
    </row>
    <row r="16" spans="2:11" ht="15.75" x14ac:dyDescent="0.25">
      <c r="B16" s="20"/>
      <c r="C16" s="16"/>
      <c r="D16" s="17"/>
      <c r="E16" s="17"/>
      <c r="F16" s="17"/>
      <c r="G16" s="17"/>
      <c r="H16" s="17"/>
      <c r="I16" s="17"/>
      <c r="J16" s="17"/>
      <c r="K16" s="64"/>
    </row>
    <row r="17" spans="2:11" ht="15.75" x14ac:dyDescent="0.25">
      <c r="B17" s="20" t="s">
        <v>18</v>
      </c>
      <c r="C17" s="16">
        <f>D17+E17+F17+G17+H17+I17+J17+K17</f>
        <v>12001690</v>
      </c>
      <c r="D17" s="17">
        <v>254148</v>
      </c>
      <c r="E17" s="17">
        <v>1100597</v>
      </c>
      <c r="F17" s="17">
        <v>0</v>
      </c>
      <c r="G17" s="17">
        <v>4889707</v>
      </c>
      <c r="H17" s="17">
        <v>5692599</v>
      </c>
      <c r="I17" s="17">
        <v>64639</v>
      </c>
      <c r="J17" s="17">
        <v>0</v>
      </c>
      <c r="K17" s="64">
        <v>0</v>
      </c>
    </row>
    <row r="18" spans="2:11" ht="15.75" x14ac:dyDescent="0.25">
      <c r="B18" s="20"/>
      <c r="C18" s="16"/>
      <c r="D18" s="17"/>
      <c r="E18" s="17"/>
      <c r="F18" s="17"/>
      <c r="G18" s="17"/>
      <c r="H18" s="17"/>
      <c r="I18" s="17"/>
      <c r="J18" s="17"/>
      <c r="K18" s="64"/>
    </row>
    <row r="19" spans="2:11" ht="15.75" x14ac:dyDescent="0.25">
      <c r="B19" s="20" t="s">
        <v>19</v>
      </c>
      <c r="C19" s="16">
        <f>D19+E19+F19+G19+H19+I19+J19+K19</f>
        <v>24822937</v>
      </c>
      <c r="D19" s="17">
        <v>294128</v>
      </c>
      <c r="E19" s="17">
        <v>2937508</v>
      </c>
      <c r="F19" s="17">
        <v>0</v>
      </c>
      <c r="G19" s="17">
        <v>8421827</v>
      </c>
      <c r="H19" s="17">
        <v>1035776</v>
      </c>
      <c r="I19" s="17">
        <v>864412</v>
      </c>
      <c r="J19" s="17">
        <v>7737656</v>
      </c>
      <c r="K19" s="64">
        <v>3531630</v>
      </c>
    </row>
    <row r="20" spans="2:11" ht="15.75" x14ac:dyDescent="0.25">
      <c r="B20" s="20"/>
      <c r="C20" s="16"/>
      <c r="D20" s="17"/>
      <c r="E20" s="17"/>
      <c r="F20" s="17"/>
      <c r="G20" s="17"/>
      <c r="H20" s="17"/>
      <c r="I20" s="17"/>
      <c r="J20" s="17"/>
      <c r="K20" s="64"/>
    </row>
    <row r="21" spans="2:11" ht="15.75" x14ac:dyDescent="0.25">
      <c r="B21" s="20" t="s">
        <v>20</v>
      </c>
      <c r="C21" s="16">
        <f>D21+E21+F21+G21+H21+I21+J21+K21</f>
        <v>21250897</v>
      </c>
      <c r="D21" s="17">
        <v>215356</v>
      </c>
      <c r="E21" s="17">
        <v>2215700</v>
      </c>
      <c r="F21" s="17">
        <v>0</v>
      </c>
      <c r="G21" s="17">
        <v>9700587</v>
      </c>
      <c r="H21" s="17">
        <v>341736</v>
      </c>
      <c r="I21" s="17">
        <v>8777518</v>
      </c>
      <c r="J21" s="17">
        <v>0</v>
      </c>
      <c r="K21" s="64">
        <v>0</v>
      </c>
    </row>
    <row r="22" spans="2:11" ht="15.75" x14ac:dyDescent="0.25">
      <c r="B22" s="20"/>
      <c r="C22" s="16"/>
      <c r="D22" s="17"/>
      <c r="E22" s="17"/>
      <c r="F22" s="17"/>
      <c r="G22" s="17"/>
      <c r="H22" s="17"/>
      <c r="I22" s="17"/>
      <c r="J22" s="17"/>
      <c r="K22" s="64"/>
    </row>
    <row r="23" spans="2:11" ht="15.75" x14ac:dyDescent="0.25">
      <c r="B23" s="20" t="s">
        <v>21</v>
      </c>
      <c r="C23" s="16">
        <f>D23+E23+F23+G23+H23+I23+J23+K23</f>
        <v>4088642</v>
      </c>
      <c r="D23" s="17">
        <v>85868</v>
      </c>
      <c r="E23" s="17">
        <v>568910</v>
      </c>
      <c r="F23" s="17">
        <v>0</v>
      </c>
      <c r="G23" s="17">
        <v>2250589</v>
      </c>
      <c r="H23" s="17">
        <v>1183275</v>
      </c>
      <c r="I23" s="17">
        <v>0</v>
      </c>
      <c r="J23" s="17">
        <v>0</v>
      </c>
      <c r="K23" s="64">
        <v>0</v>
      </c>
    </row>
    <row r="24" spans="2:11" ht="15.75" x14ac:dyDescent="0.25">
      <c r="B24" s="20"/>
      <c r="C24" s="16"/>
      <c r="D24" s="17"/>
      <c r="E24" s="17"/>
      <c r="F24" s="17"/>
      <c r="G24" s="17"/>
      <c r="H24" s="17"/>
      <c r="I24" s="17"/>
      <c r="J24" s="17"/>
      <c r="K24" s="64"/>
    </row>
    <row r="25" spans="2:11" ht="15.75" x14ac:dyDescent="0.25">
      <c r="B25" s="20" t="s">
        <v>22</v>
      </c>
      <c r="C25" s="16">
        <f>D25+E25+F25+G25+H25+I25+J25+K25</f>
        <v>446563</v>
      </c>
      <c r="D25" s="17">
        <v>0</v>
      </c>
      <c r="E25" s="17">
        <v>23959</v>
      </c>
      <c r="F25" s="17">
        <v>0</v>
      </c>
      <c r="G25" s="17">
        <v>83667</v>
      </c>
      <c r="H25" s="17">
        <v>338937</v>
      </c>
      <c r="I25" s="17">
        <v>0</v>
      </c>
      <c r="J25" s="17">
        <v>0</v>
      </c>
      <c r="K25" s="64">
        <v>0</v>
      </c>
    </row>
    <row r="26" spans="2:11" ht="15.75" x14ac:dyDescent="0.25">
      <c r="B26" s="20"/>
      <c r="C26" s="16"/>
      <c r="D26" s="17"/>
      <c r="E26" s="17"/>
      <c r="F26" s="17"/>
      <c r="G26" s="17"/>
      <c r="H26" s="17"/>
      <c r="I26" s="17"/>
      <c r="J26" s="17"/>
      <c r="K26" s="64"/>
    </row>
    <row r="27" spans="2:11" ht="15.75" x14ac:dyDescent="0.25">
      <c r="B27" s="65" t="s">
        <v>3</v>
      </c>
      <c r="C27" s="16">
        <f>C8+C10+C12+C13+C15+C17+C19+C21+C23+C25</f>
        <v>337889061</v>
      </c>
      <c r="D27" s="16">
        <f t="shared" ref="D27:K27" si="0">D8+D10+D12+D13+D15+D17+D19+D21+D23+D25</f>
        <v>5596571</v>
      </c>
      <c r="E27" s="16">
        <f t="shared" si="0"/>
        <v>40520657</v>
      </c>
      <c r="F27" s="16">
        <f t="shared" si="0"/>
        <v>23515</v>
      </c>
      <c r="G27" s="16">
        <f t="shared" si="0"/>
        <v>118694650</v>
      </c>
      <c r="H27" s="16">
        <f t="shared" si="0"/>
        <v>21082258</v>
      </c>
      <c r="I27" s="16">
        <f t="shared" si="0"/>
        <v>60420884</v>
      </c>
      <c r="J27" s="16">
        <f t="shared" si="0"/>
        <v>66641639</v>
      </c>
      <c r="K27" s="66">
        <f t="shared" si="0"/>
        <v>24908887</v>
      </c>
    </row>
    <row r="28" spans="2:11" ht="16.5" thickBot="1" x14ac:dyDescent="0.3">
      <c r="B28" s="25"/>
      <c r="C28" s="26"/>
      <c r="D28" s="27"/>
      <c r="E28" s="27"/>
      <c r="F28" s="27"/>
      <c r="G28" s="27"/>
      <c r="H28" s="27"/>
      <c r="I28" s="27"/>
      <c r="J28" s="27"/>
      <c r="K28" s="67"/>
    </row>
    <row r="29" spans="2:11" ht="16.5" thickTop="1" x14ac:dyDescent="0.25">
      <c r="B29" s="1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5.75" x14ac:dyDescent="0.25">
      <c r="B30" s="33" t="s">
        <v>23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2:11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2" t="s">
        <v>0</v>
      </c>
      <c r="C33" s="3"/>
      <c r="D33" s="3"/>
      <c r="E33" s="7"/>
      <c r="F33" s="3"/>
      <c r="G33" s="7"/>
      <c r="H33" s="7"/>
      <c r="I33" s="7"/>
      <c r="J33" s="7"/>
      <c r="K33" s="7"/>
    </row>
    <row r="34" spans="2:11" ht="15.75" x14ac:dyDescent="0.25">
      <c r="B34" s="1"/>
      <c r="C34" s="36"/>
      <c r="E34" s="38"/>
      <c r="F34" s="38"/>
      <c r="G34" s="39" t="s">
        <v>1</v>
      </c>
      <c r="H34" s="38"/>
      <c r="I34" s="38"/>
      <c r="J34" s="38"/>
      <c r="K34" s="38"/>
    </row>
    <row r="35" spans="2:11" ht="15.75" x14ac:dyDescent="0.25">
      <c r="B35" s="6" t="s">
        <v>47</v>
      </c>
      <c r="C35" s="3"/>
      <c r="D35" s="3"/>
      <c r="E35" s="7"/>
      <c r="F35" s="3"/>
      <c r="G35" s="7"/>
      <c r="H35" s="7"/>
      <c r="I35" s="7"/>
      <c r="J35" s="7"/>
      <c r="K35" s="7"/>
    </row>
    <row r="36" spans="2:11" ht="16.5" thickBot="1" x14ac:dyDescent="0.3">
      <c r="B36" s="1"/>
      <c r="C36" s="36"/>
      <c r="D36" s="38"/>
      <c r="E36" s="38"/>
      <c r="F36" s="38"/>
      <c r="G36" s="38"/>
      <c r="H36" s="38"/>
      <c r="I36" s="38"/>
      <c r="J36" s="38"/>
      <c r="K36" s="38"/>
    </row>
    <row r="37" spans="2:11" ht="16.5" thickTop="1" x14ac:dyDescent="0.25">
      <c r="B37" s="41" t="s">
        <v>24</v>
      </c>
      <c r="C37" s="42" t="s">
        <v>3</v>
      </c>
      <c r="D37" s="62" t="s">
        <v>43</v>
      </c>
      <c r="E37" s="62" t="s">
        <v>40</v>
      </c>
      <c r="F37" s="43" t="s">
        <v>6</v>
      </c>
      <c r="G37" s="43" t="s">
        <v>7</v>
      </c>
      <c r="H37" s="43" t="s">
        <v>8</v>
      </c>
      <c r="I37" s="43" t="s">
        <v>25</v>
      </c>
      <c r="J37" s="44" t="s">
        <v>10</v>
      </c>
      <c r="K37" s="63" t="s">
        <v>11</v>
      </c>
    </row>
    <row r="38" spans="2:11" ht="15.75" x14ac:dyDescent="0.25">
      <c r="B38" s="45"/>
      <c r="C38" s="46"/>
      <c r="D38" s="47"/>
      <c r="E38" s="47"/>
      <c r="F38" s="47"/>
      <c r="G38" s="47"/>
      <c r="H38" s="47"/>
      <c r="I38" s="47"/>
      <c r="J38" s="48"/>
      <c r="K38" s="68"/>
    </row>
    <row r="39" spans="2:11" ht="15.75" x14ac:dyDescent="0.25">
      <c r="B39" s="45" t="s">
        <v>26</v>
      </c>
      <c r="C39" s="49">
        <f>SUM(D39:K39)</f>
        <v>27187572</v>
      </c>
      <c r="D39" s="50">
        <v>559108</v>
      </c>
      <c r="E39" s="50">
        <v>3031664</v>
      </c>
      <c r="F39" s="50">
        <v>698</v>
      </c>
      <c r="G39" s="50">
        <v>8266137</v>
      </c>
      <c r="H39" s="50">
        <v>1616062</v>
      </c>
      <c r="I39" s="50">
        <v>4662037</v>
      </c>
      <c r="J39" s="51">
        <v>7279214</v>
      </c>
      <c r="K39" s="69">
        <v>1772652</v>
      </c>
    </row>
    <row r="40" spans="2:11" ht="15.75" x14ac:dyDescent="0.25">
      <c r="B40" s="45" t="s">
        <v>27</v>
      </c>
      <c r="C40" s="49">
        <f>SUM(D40:K40)</f>
        <v>21935596</v>
      </c>
      <c r="D40" s="50">
        <v>410282</v>
      </c>
      <c r="E40" s="50">
        <v>2883988</v>
      </c>
      <c r="F40" s="50">
        <v>0</v>
      </c>
      <c r="G40" s="50">
        <v>7826658</v>
      </c>
      <c r="H40" s="50">
        <v>1571457</v>
      </c>
      <c r="I40" s="50">
        <v>4241219</v>
      </c>
      <c r="J40" s="51">
        <v>3202106</v>
      </c>
      <c r="K40" s="69">
        <v>1799886</v>
      </c>
    </row>
    <row r="41" spans="2:11" ht="15.75" x14ac:dyDescent="0.25">
      <c r="B41" s="45" t="s">
        <v>28</v>
      </c>
      <c r="C41" s="49">
        <f>SUM(D41:K41)</f>
        <v>31386563</v>
      </c>
      <c r="D41" s="50">
        <v>518494</v>
      </c>
      <c r="E41" s="50">
        <v>3283129</v>
      </c>
      <c r="F41" s="50">
        <v>8888</v>
      </c>
      <c r="G41" s="50">
        <v>12658496</v>
      </c>
      <c r="H41" s="50">
        <v>1810539</v>
      </c>
      <c r="I41" s="50">
        <v>6142753</v>
      </c>
      <c r="J41" s="51">
        <v>5149290</v>
      </c>
      <c r="K41" s="69">
        <v>1814974</v>
      </c>
    </row>
    <row r="42" spans="2:11" ht="15.75" x14ac:dyDescent="0.25">
      <c r="B42" s="45"/>
      <c r="C42" s="49">
        <f t="shared" ref="C42:I42" si="1">C39+C40+C41</f>
        <v>80509731</v>
      </c>
      <c r="D42" s="50">
        <f t="shared" si="1"/>
        <v>1487884</v>
      </c>
      <c r="E42" s="50">
        <f t="shared" si="1"/>
        <v>9198781</v>
      </c>
      <c r="F42" s="50">
        <f t="shared" si="1"/>
        <v>9586</v>
      </c>
      <c r="G42" s="50">
        <f t="shared" si="1"/>
        <v>28751291</v>
      </c>
      <c r="H42" s="50">
        <f t="shared" si="1"/>
        <v>4998058</v>
      </c>
      <c r="I42" s="50">
        <f t="shared" si="1"/>
        <v>15046009</v>
      </c>
      <c r="J42" s="51">
        <f>J39+J40+J41</f>
        <v>15630610</v>
      </c>
      <c r="K42" s="69">
        <f>K39+K40+K41</f>
        <v>5387512</v>
      </c>
    </row>
    <row r="43" spans="2:11" ht="15.75" x14ac:dyDescent="0.25">
      <c r="B43" s="45" t="s">
        <v>29</v>
      </c>
      <c r="C43" s="49">
        <f>SUM(D43:K43)</f>
        <v>25322321</v>
      </c>
      <c r="D43" s="50">
        <v>448254</v>
      </c>
      <c r="E43" s="50">
        <v>3378440</v>
      </c>
      <c r="F43" s="50">
        <v>0</v>
      </c>
      <c r="G43" s="50">
        <v>8236965</v>
      </c>
      <c r="H43" s="50">
        <v>1611493</v>
      </c>
      <c r="I43" s="50">
        <v>4946545</v>
      </c>
      <c r="J43" s="51">
        <v>4868959</v>
      </c>
      <c r="K43" s="69">
        <v>1831665</v>
      </c>
    </row>
    <row r="44" spans="2:11" ht="15.75" x14ac:dyDescent="0.25">
      <c r="B44" s="45" t="s">
        <v>30</v>
      </c>
      <c r="C44" s="49">
        <f>SUM(D44:K44)</f>
        <v>29652809</v>
      </c>
      <c r="D44" s="50">
        <v>431207</v>
      </c>
      <c r="E44" s="50">
        <v>3356763</v>
      </c>
      <c r="F44" s="50">
        <v>2190</v>
      </c>
      <c r="G44" s="50">
        <v>11853076</v>
      </c>
      <c r="H44" s="50">
        <v>1613639</v>
      </c>
      <c r="I44" s="50">
        <v>4483142</v>
      </c>
      <c r="J44" s="51">
        <v>4364845</v>
      </c>
      <c r="K44" s="69">
        <v>3547947</v>
      </c>
    </row>
    <row r="45" spans="2:11" ht="15.75" x14ac:dyDescent="0.25">
      <c r="B45" s="45" t="s">
        <v>31</v>
      </c>
      <c r="C45" s="49">
        <f>SUM(D45:K45)</f>
        <v>27121512</v>
      </c>
      <c r="D45" s="50">
        <v>498856</v>
      </c>
      <c r="E45" s="50">
        <v>3356262</v>
      </c>
      <c r="F45" s="50">
        <v>2614</v>
      </c>
      <c r="G45" s="50">
        <v>8671616</v>
      </c>
      <c r="H45" s="50">
        <v>1878048</v>
      </c>
      <c r="I45" s="50">
        <v>4490741</v>
      </c>
      <c r="J45" s="51">
        <v>6454371</v>
      </c>
      <c r="K45" s="69">
        <v>1769004</v>
      </c>
    </row>
    <row r="46" spans="2:11" ht="15.75" x14ac:dyDescent="0.25">
      <c r="B46" s="45"/>
      <c r="C46" s="49">
        <f t="shared" ref="C46:I46" si="2">C43+C44+C45</f>
        <v>82096642</v>
      </c>
      <c r="D46" s="50">
        <f t="shared" si="2"/>
        <v>1378317</v>
      </c>
      <c r="E46" s="50">
        <f t="shared" si="2"/>
        <v>10091465</v>
      </c>
      <c r="F46" s="50">
        <f t="shared" si="2"/>
        <v>4804</v>
      </c>
      <c r="G46" s="50">
        <f t="shared" si="2"/>
        <v>28761657</v>
      </c>
      <c r="H46" s="50">
        <f t="shared" si="2"/>
        <v>5103180</v>
      </c>
      <c r="I46" s="50">
        <f t="shared" si="2"/>
        <v>13920428</v>
      </c>
      <c r="J46" s="51">
        <f>J43+J44+J45</f>
        <v>15688175</v>
      </c>
      <c r="K46" s="69">
        <f>K43+K44+K45</f>
        <v>7148616</v>
      </c>
    </row>
    <row r="47" spans="2:11" ht="15.75" x14ac:dyDescent="0.25">
      <c r="B47" s="45" t="s">
        <v>32</v>
      </c>
      <c r="C47" s="49">
        <f>SUM(D47:K47)</f>
        <v>32985569</v>
      </c>
      <c r="D47" s="50">
        <v>599593</v>
      </c>
      <c r="E47" s="50">
        <v>4064642</v>
      </c>
      <c r="F47" s="50">
        <v>397</v>
      </c>
      <c r="G47" s="50">
        <v>12720472</v>
      </c>
      <c r="H47" s="50">
        <v>2163023</v>
      </c>
      <c r="I47" s="50">
        <v>5309281</v>
      </c>
      <c r="J47" s="51">
        <v>6312187</v>
      </c>
      <c r="K47" s="69">
        <v>1815974</v>
      </c>
    </row>
    <row r="48" spans="2:11" ht="15.75" x14ac:dyDescent="0.25">
      <c r="B48" s="45" t="s">
        <v>41</v>
      </c>
      <c r="C48" s="49">
        <f>SUM(D48:K48)</f>
        <v>27703185</v>
      </c>
      <c r="D48" s="50">
        <v>522071</v>
      </c>
      <c r="E48" s="50">
        <v>3995502</v>
      </c>
      <c r="F48" s="50">
        <v>991</v>
      </c>
      <c r="G48" s="50">
        <v>8766518</v>
      </c>
      <c r="H48" s="50">
        <v>2437817</v>
      </c>
      <c r="I48" s="50">
        <v>4800125</v>
      </c>
      <c r="J48" s="51">
        <v>5394180</v>
      </c>
      <c r="K48" s="69">
        <v>1785981</v>
      </c>
    </row>
    <row r="49" spans="2:11" ht="15.75" x14ac:dyDescent="0.25">
      <c r="B49" s="45" t="s">
        <v>34</v>
      </c>
      <c r="C49" s="49">
        <f>SUM(D49:K49)</f>
        <v>29413830</v>
      </c>
      <c r="D49" s="50">
        <v>476110</v>
      </c>
      <c r="E49" s="50">
        <v>3531635</v>
      </c>
      <c r="F49" s="50">
        <v>6539</v>
      </c>
      <c r="G49" s="50">
        <v>9496426</v>
      </c>
      <c r="H49" s="50">
        <v>1594348</v>
      </c>
      <c r="I49" s="50">
        <v>6392722</v>
      </c>
      <c r="J49" s="51">
        <v>6092896</v>
      </c>
      <c r="K49" s="69">
        <v>1823154</v>
      </c>
    </row>
    <row r="50" spans="2:11" ht="15.75" x14ac:dyDescent="0.25">
      <c r="B50" s="45"/>
      <c r="C50" s="49">
        <f t="shared" ref="C50:K50" si="3">C47+C48+C49</f>
        <v>90102584</v>
      </c>
      <c r="D50" s="50">
        <f t="shared" si="3"/>
        <v>1597774</v>
      </c>
      <c r="E50" s="50">
        <f t="shared" si="3"/>
        <v>11591779</v>
      </c>
      <c r="F50" s="50">
        <f t="shared" si="3"/>
        <v>7927</v>
      </c>
      <c r="G50" s="50">
        <f t="shared" si="3"/>
        <v>30983416</v>
      </c>
      <c r="H50" s="50">
        <f t="shared" si="3"/>
        <v>6195188</v>
      </c>
      <c r="I50" s="50">
        <f t="shared" si="3"/>
        <v>16502128</v>
      </c>
      <c r="J50" s="51">
        <f t="shared" si="3"/>
        <v>17799263</v>
      </c>
      <c r="K50" s="69">
        <f t="shared" si="3"/>
        <v>5425109</v>
      </c>
    </row>
    <row r="51" spans="2:11" ht="15.75" x14ac:dyDescent="0.25">
      <c r="B51" s="45" t="s">
        <v>35</v>
      </c>
      <c r="C51" s="49">
        <f>SUM(D51:K51)</f>
        <v>30197715</v>
      </c>
      <c r="D51" s="50">
        <v>418388</v>
      </c>
      <c r="E51" s="50">
        <v>3224401</v>
      </c>
      <c r="F51" s="50">
        <v>0</v>
      </c>
      <c r="G51" s="50">
        <v>12998394</v>
      </c>
      <c r="H51" s="50">
        <v>1411337</v>
      </c>
      <c r="I51" s="50">
        <v>4743557</v>
      </c>
      <c r="J51" s="51">
        <v>5593750</v>
      </c>
      <c r="K51" s="69">
        <v>1807888</v>
      </c>
    </row>
    <row r="52" spans="2:11" ht="15.75" x14ac:dyDescent="0.25">
      <c r="B52" s="45" t="s">
        <v>36</v>
      </c>
      <c r="C52" s="49">
        <f>SUM(D52:K52)</f>
        <v>25653407</v>
      </c>
      <c r="D52" s="50">
        <v>332948</v>
      </c>
      <c r="E52" s="50">
        <v>3240751</v>
      </c>
      <c r="F52" s="50">
        <v>399</v>
      </c>
      <c r="G52" s="50">
        <v>7517562</v>
      </c>
      <c r="H52" s="50">
        <v>1533830</v>
      </c>
      <c r="I52" s="50">
        <v>5246971</v>
      </c>
      <c r="J52" s="51">
        <v>6005830</v>
      </c>
      <c r="K52" s="69">
        <v>1775116</v>
      </c>
    </row>
    <row r="53" spans="2:11" ht="15.75" x14ac:dyDescent="0.25">
      <c r="B53" s="45" t="s">
        <v>37</v>
      </c>
      <c r="C53" s="49">
        <f>SUM(D53:K53)</f>
        <v>29328982</v>
      </c>
      <c r="D53" s="50">
        <v>381260</v>
      </c>
      <c r="E53" s="50">
        <v>3173480</v>
      </c>
      <c r="F53" s="50">
        <v>799</v>
      </c>
      <c r="G53" s="50">
        <v>9682330</v>
      </c>
      <c r="H53" s="50">
        <v>1840665</v>
      </c>
      <c r="I53" s="50">
        <v>4961791</v>
      </c>
      <c r="J53" s="51">
        <v>5924011</v>
      </c>
      <c r="K53" s="69">
        <v>3364646</v>
      </c>
    </row>
    <row r="54" spans="2:11" ht="15.75" x14ac:dyDescent="0.25">
      <c r="B54" s="45"/>
      <c r="C54" s="49">
        <f t="shared" ref="C54:K54" si="4">C51+C52+C53</f>
        <v>85180104</v>
      </c>
      <c r="D54" s="50">
        <f t="shared" si="4"/>
        <v>1132596</v>
      </c>
      <c r="E54" s="50">
        <f t="shared" si="4"/>
        <v>9638632</v>
      </c>
      <c r="F54" s="50">
        <f t="shared" si="4"/>
        <v>1198</v>
      </c>
      <c r="G54" s="50">
        <f t="shared" si="4"/>
        <v>30198286</v>
      </c>
      <c r="H54" s="50">
        <f t="shared" si="4"/>
        <v>4785832</v>
      </c>
      <c r="I54" s="50">
        <f t="shared" si="4"/>
        <v>14952319</v>
      </c>
      <c r="J54" s="51">
        <f t="shared" si="4"/>
        <v>17523591</v>
      </c>
      <c r="K54" s="69">
        <f t="shared" si="4"/>
        <v>6947650</v>
      </c>
    </row>
    <row r="55" spans="2:11" ht="15" x14ac:dyDescent="0.25">
      <c r="B55" s="70" t="s">
        <v>38</v>
      </c>
      <c r="C55" s="49">
        <f t="shared" ref="C55:K55" si="5">C39+C40+C41+C43+C44+C45+C47+C48+C49+C51+C52+C53</f>
        <v>337889061</v>
      </c>
      <c r="D55" s="50">
        <f t="shared" si="5"/>
        <v>5596571</v>
      </c>
      <c r="E55" s="50">
        <f t="shared" si="5"/>
        <v>40520657</v>
      </c>
      <c r="F55" s="50">
        <f t="shared" si="5"/>
        <v>23515</v>
      </c>
      <c r="G55" s="50">
        <f t="shared" si="5"/>
        <v>118694650</v>
      </c>
      <c r="H55" s="50">
        <f t="shared" si="5"/>
        <v>21082258</v>
      </c>
      <c r="I55" s="50">
        <f t="shared" si="5"/>
        <v>60420884</v>
      </c>
      <c r="J55" s="51">
        <f t="shared" si="5"/>
        <v>66641639</v>
      </c>
      <c r="K55" s="69">
        <f t="shared" si="5"/>
        <v>24908887</v>
      </c>
    </row>
    <row r="56" spans="2:11" ht="16.5" thickBot="1" x14ac:dyDescent="0.3">
      <c r="B56" s="58"/>
      <c r="C56" s="26"/>
      <c r="D56" s="27"/>
      <c r="E56" s="27"/>
      <c r="F56" s="27"/>
      <c r="G56" s="27"/>
      <c r="H56" s="27"/>
      <c r="I56" s="27"/>
      <c r="J56" s="28"/>
      <c r="K56" s="67"/>
    </row>
    <row r="57" spans="2:11" ht="16.5" thickTop="1" x14ac:dyDescent="0.25">
      <c r="B57" s="1"/>
      <c r="C57" s="59"/>
      <c r="D57" s="60"/>
      <c r="E57" s="60"/>
      <c r="F57" s="60"/>
      <c r="G57" s="60"/>
      <c r="H57" s="60"/>
      <c r="I57" s="60"/>
      <c r="J57" s="60"/>
      <c r="K57" s="60"/>
    </row>
    <row r="58" spans="2:11" ht="15.75" x14ac:dyDescent="0.25">
      <c r="B58" s="33" t="s">
        <v>23</v>
      </c>
      <c r="C58" s="59"/>
      <c r="D58" s="60"/>
      <c r="E58" s="60"/>
      <c r="F58" s="60"/>
      <c r="G58" s="60"/>
      <c r="H58" s="60"/>
      <c r="I58" s="60"/>
      <c r="J58" s="60"/>
      <c r="K58" s="60"/>
    </row>
  </sheetData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58"/>
  <sheetViews>
    <sheetView topLeftCell="A4" workbookViewId="0">
      <selection activeCell="D27" sqref="D27:K27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2" spans="2:11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</row>
    <row r="3" spans="2:11" ht="15.75" x14ac:dyDescent="0.25">
      <c r="B3" s="1"/>
      <c r="C3" s="5"/>
      <c r="D3" s="2"/>
      <c r="E3" s="2"/>
      <c r="F3" s="2"/>
      <c r="G3" s="2" t="s">
        <v>1</v>
      </c>
      <c r="H3" s="2"/>
      <c r="I3" s="2"/>
      <c r="J3" s="2"/>
      <c r="K3" s="2"/>
    </row>
    <row r="4" spans="2:11" ht="15.75" x14ac:dyDescent="0.25">
      <c r="B4" s="6" t="s">
        <v>48</v>
      </c>
      <c r="C4" s="3"/>
      <c r="D4" s="3"/>
      <c r="E4" s="7"/>
      <c r="F4" s="3"/>
      <c r="G4" s="7"/>
      <c r="H4" s="7"/>
      <c r="I4" s="7"/>
      <c r="J4" s="7"/>
      <c r="K4" s="7"/>
    </row>
    <row r="5" spans="2:11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9"/>
    </row>
    <row r="6" spans="2:11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63" t="s">
        <v>11</v>
      </c>
    </row>
    <row r="7" spans="2:11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64"/>
    </row>
    <row r="8" spans="2:11" ht="15.75" x14ac:dyDescent="0.25">
      <c r="B8" s="20" t="s">
        <v>13</v>
      </c>
      <c r="C8" s="16">
        <f>D8+E8+F8+G8+H8+I8+J8+K8</f>
        <v>176499866</v>
      </c>
      <c r="D8" s="17">
        <v>2452925</v>
      </c>
      <c r="E8" s="17">
        <v>21978573</v>
      </c>
      <c r="F8" s="17">
        <v>15531</v>
      </c>
      <c r="G8" s="17">
        <v>59052609</v>
      </c>
      <c r="H8" s="17">
        <v>427867</v>
      </c>
      <c r="I8" s="17">
        <v>16890667</v>
      </c>
      <c r="J8" s="17">
        <v>62363228</v>
      </c>
      <c r="K8" s="64">
        <v>13318466</v>
      </c>
    </row>
    <row r="9" spans="2:11" ht="15.75" x14ac:dyDescent="0.25">
      <c r="B9" s="20"/>
      <c r="C9" s="16"/>
      <c r="D9" s="17"/>
      <c r="E9" s="17"/>
      <c r="F9" s="17"/>
      <c r="G9" s="17"/>
      <c r="H9" s="17"/>
      <c r="I9" s="17"/>
      <c r="J9" s="17"/>
      <c r="K9" s="64"/>
    </row>
    <row r="10" spans="2:11" ht="15.75" x14ac:dyDescent="0.25">
      <c r="B10" s="20" t="s">
        <v>14</v>
      </c>
      <c r="C10" s="16">
        <f>D10+E10+F10+G10+H10+I10+J10+K10</f>
        <v>8219507</v>
      </c>
      <c r="D10" s="17">
        <v>178421</v>
      </c>
      <c r="E10" s="17">
        <v>1205829</v>
      </c>
      <c r="F10" s="17">
        <v>17007</v>
      </c>
      <c r="G10" s="17">
        <v>2148467</v>
      </c>
      <c r="H10" s="17">
        <v>4669783</v>
      </c>
      <c r="I10" s="17">
        <v>0</v>
      </c>
      <c r="J10" s="17">
        <v>0</v>
      </c>
      <c r="K10" s="64">
        <v>0</v>
      </c>
    </row>
    <row r="11" spans="2:11" ht="15.75" x14ac:dyDescent="0.25">
      <c r="B11" s="20"/>
      <c r="C11" s="16"/>
      <c r="D11" s="17"/>
      <c r="E11" s="17"/>
      <c r="F11" s="17"/>
      <c r="G11" s="17"/>
      <c r="H11" s="17"/>
      <c r="I11" s="17"/>
      <c r="J11" s="17"/>
      <c r="K11" s="64"/>
    </row>
    <row r="12" spans="2:11" ht="15.75" x14ac:dyDescent="0.25">
      <c r="B12" s="20" t="s">
        <v>15</v>
      </c>
      <c r="C12" s="16">
        <f>D12+E12+F12+G12+H12+I12+J12+K12</f>
        <v>76778938</v>
      </c>
      <c r="D12" s="17">
        <v>1146432</v>
      </c>
      <c r="E12" s="17">
        <v>10637237</v>
      </c>
      <c r="F12" s="17">
        <v>0</v>
      </c>
      <c r="G12" s="17">
        <v>14764469</v>
      </c>
      <c r="H12" s="17">
        <v>0</v>
      </c>
      <c r="I12" s="17">
        <v>4347534</v>
      </c>
      <c r="J12" s="17">
        <v>39511667</v>
      </c>
      <c r="K12" s="64">
        <v>6371599</v>
      </c>
    </row>
    <row r="13" spans="2:11" ht="15.75" x14ac:dyDescent="0.25">
      <c r="B13" s="20" t="s">
        <v>16</v>
      </c>
      <c r="C13" s="16">
        <f>D13+E13+F13+G13+H13+I13+J13+K13</f>
        <v>15062988</v>
      </c>
      <c r="D13" s="17">
        <v>0</v>
      </c>
      <c r="E13" s="17">
        <v>0</v>
      </c>
      <c r="F13" s="17">
        <v>0</v>
      </c>
      <c r="G13" s="17">
        <v>13846102</v>
      </c>
      <c r="H13" s="17">
        <v>1216886</v>
      </c>
      <c r="I13" s="17">
        <v>0</v>
      </c>
      <c r="J13" s="17">
        <v>0</v>
      </c>
      <c r="K13" s="64">
        <v>0</v>
      </c>
    </row>
    <row r="14" spans="2:11" ht="15.75" x14ac:dyDescent="0.25">
      <c r="B14" s="20"/>
      <c r="C14" s="16"/>
      <c r="D14" s="17"/>
      <c r="E14" s="17"/>
      <c r="F14" s="17"/>
      <c r="G14" s="17"/>
      <c r="H14" s="17"/>
      <c r="I14" s="17"/>
      <c r="J14" s="17"/>
      <c r="K14" s="64"/>
    </row>
    <row r="15" spans="2:11" ht="15.75" x14ac:dyDescent="0.25">
      <c r="B15" s="20" t="s">
        <v>17</v>
      </c>
      <c r="C15" s="16">
        <f>D15+E15+F15+G15+H15+I15+J15+K15</f>
        <v>5760047</v>
      </c>
      <c r="D15" s="17">
        <v>83715</v>
      </c>
      <c r="E15" s="17">
        <v>701511</v>
      </c>
      <c r="F15" s="17">
        <v>0</v>
      </c>
      <c r="G15" s="17">
        <v>2318390</v>
      </c>
      <c r="H15" s="17">
        <v>2656431</v>
      </c>
      <c r="I15" s="17">
        <v>0</v>
      </c>
      <c r="J15" s="17">
        <v>0</v>
      </c>
      <c r="K15" s="64">
        <v>0</v>
      </c>
    </row>
    <row r="16" spans="2:11" ht="15.75" x14ac:dyDescent="0.25">
      <c r="B16" s="20"/>
      <c r="C16" s="16"/>
      <c r="D16" s="17"/>
      <c r="E16" s="17"/>
      <c r="F16" s="17"/>
      <c r="G16" s="17"/>
      <c r="H16" s="17"/>
      <c r="I16" s="17"/>
      <c r="J16" s="17"/>
      <c r="K16" s="64"/>
    </row>
    <row r="17" spans="2:11" ht="15.75" x14ac:dyDescent="0.25">
      <c r="B17" s="20" t="s">
        <v>18</v>
      </c>
      <c r="C17" s="16">
        <f>D17+E17+F17+G17+H17+I17+J17+K17</f>
        <v>12441844</v>
      </c>
      <c r="D17" s="17">
        <v>178020</v>
      </c>
      <c r="E17" s="17">
        <v>1125080</v>
      </c>
      <c r="F17" s="17">
        <v>0</v>
      </c>
      <c r="G17" s="17">
        <v>4863538</v>
      </c>
      <c r="H17" s="17">
        <v>6117952</v>
      </c>
      <c r="I17" s="17">
        <v>157254</v>
      </c>
      <c r="J17" s="17">
        <v>0</v>
      </c>
      <c r="K17" s="64">
        <v>0</v>
      </c>
    </row>
    <row r="18" spans="2:11" ht="15.75" x14ac:dyDescent="0.25">
      <c r="B18" s="20"/>
      <c r="C18" s="16"/>
      <c r="D18" s="17"/>
      <c r="E18" s="17"/>
      <c r="F18" s="17"/>
      <c r="G18" s="17"/>
      <c r="H18" s="17"/>
      <c r="I18" s="17"/>
      <c r="J18" s="17"/>
      <c r="K18" s="64"/>
    </row>
    <row r="19" spans="2:11" ht="15.75" x14ac:dyDescent="0.25">
      <c r="B19" s="20" t="s">
        <v>19</v>
      </c>
      <c r="C19" s="16">
        <f>D19+E19+F19+G19+H19+I19+J19+K19</f>
        <v>27390737</v>
      </c>
      <c r="D19" s="17">
        <v>225273</v>
      </c>
      <c r="E19" s="17">
        <v>2941399</v>
      </c>
      <c r="F19" s="17">
        <v>0</v>
      </c>
      <c r="G19" s="17">
        <v>8713054</v>
      </c>
      <c r="H19" s="17">
        <v>1014426</v>
      </c>
      <c r="I19" s="17">
        <v>395525</v>
      </c>
      <c r="J19" s="17">
        <v>10284502</v>
      </c>
      <c r="K19" s="64">
        <v>3816558</v>
      </c>
    </row>
    <row r="20" spans="2:11" ht="15.75" x14ac:dyDescent="0.25">
      <c r="B20" s="20"/>
      <c r="C20" s="16"/>
      <c r="D20" s="17"/>
      <c r="E20" s="17"/>
      <c r="F20" s="17"/>
      <c r="G20" s="17"/>
      <c r="H20" s="17"/>
      <c r="I20" s="17"/>
      <c r="J20" s="17"/>
      <c r="K20" s="64"/>
    </row>
    <row r="21" spans="2:11" ht="15.75" x14ac:dyDescent="0.25">
      <c r="B21" s="20" t="s">
        <v>20</v>
      </c>
      <c r="C21" s="16">
        <f>D21+E21+F21+G21+H21+I21+J21+K21</f>
        <v>20866370</v>
      </c>
      <c r="D21" s="17">
        <v>150103</v>
      </c>
      <c r="E21" s="17">
        <v>2291777</v>
      </c>
      <c r="F21" s="17">
        <v>0</v>
      </c>
      <c r="G21" s="17">
        <v>9457610</v>
      </c>
      <c r="H21" s="17">
        <v>269453</v>
      </c>
      <c r="I21" s="17">
        <v>720334</v>
      </c>
      <c r="J21" s="17">
        <v>7977093</v>
      </c>
      <c r="K21" s="64">
        <v>0</v>
      </c>
    </row>
    <row r="22" spans="2:11" ht="15.75" x14ac:dyDescent="0.25">
      <c r="B22" s="20"/>
      <c r="C22" s="16"/>
      <c r="D22" s="17"/>
      <c r="E22" s="17"/>
      <c r="F22" s="17"/>
      <c r="G22" s="17"/>
      <c r="H22" s="17"/>
      <c r="I22" s="17"/>
      <c r="J22" s="17"/>
      <c r="K22" s="64"/>
    </row>
    <row r="23" spans="2:11" ht="15.75" x14ac:dyDescent="0.25">
      <c r="B23" s="20" t="s">
        <v>21</v>
      </c>
      <c r="C23" s="16">
        <f>D23+E23+F23+G23+H23+I23+J23+K23</f>
        <v>4348979</v>
      </c>
      <c r="D23" s="17">
        <v>59553</v>
      </c>
      <c r="E23" s="17">
        <v>596789</v>
      </c>
      <c r="F23" s="17">
        <v>0</v>
      </c>
      <c r="G23" s="17">
        <v>2291309</v>
      </c>
      <c r="H23" s="17">
        <v>1401328</v>
      </c>
      <c r="I23" s="17">
        <v>0</v>
      </c>
      <c r="J23" s="17">
        <v>0</v>
      </c>
      <c r="K23" s="64">
        <v>0</v>
      </c>
    </row>
    <row r="24" spans="2:11" ht="15.75" x14ac:dyDescent="0.25">
      <c r="B24" s="20"/>
      <c r="C24" s="16"/>
      <c r="D24" s="17"/>
      <c r="E24" s="17"/>
      <c r="F24" s="17"/>
      <c r="G24" s="17"/>
      <c r="H24" s="17"/>
      <c r="I24" s="17"/>
      <c r="J24" s="17"/>
      <c r="K24" s="64"/>
    </row>
    <row r="25" spans="2:11" ht="15.75" x14ac:dyDescent="0.25">
      <c r="B25" s="20" t="s">
        <v>22</v>
      </c>
      <c r="C25" s="16">
        <f>D25+E25+F25+G25+H25+I25+J25+K25</f>
        <v>432103</v>
      </c>
      <c r="D25" s="17">
        <v>0</v>
      </c>
      <c r="E25" s="17">
        <v>29876</v>
      </c>
      <c r="F25" s="17">
        <v>0</v>
      </c>
      <c r="G25" s="17">
        <v>66207</v>
      </c>
      <c r="H25" s="17">
        <v>336020</v>
      </c>
      <c r="I25" s="17">
        <v>0</v>
      </c>
      <c r="J25" s="17">
        <v>0</v>
      </c>
      <c r="K25" s="64">
        <v>0</v>
      </c>
    </row>
    <row r="26" spans="2:11" ht="15.75" x14ac:dyDescent="0.25">
      <c r="B26" s="20"/>
      <c r="C26" s="16"/>
      <c r="D26" s="17"/>
      <c r="E26" s="17"/>
      <c r="F26" s="17"/>
      <c r="G26" s="17"/>
      <c r="H26" s="17"/>
      <c r="I26" s="17"/>
      <c r="J26" s="17"/>
      <c r="K26" s="64"/>
    </row>
    <row r="27" spans="2:11" ht="15.75" x14ac:dyDescent="0.25">
      <c r="B27" s="65" t="s">
        <v>3</v>
      </c>
      <c r="C27" s="16">
        <f>C8+C10+C12+C13+C15+C17+C19+C21+C23+C25</f>
        <v>347801379</v>
      </c>
      <c r="D27" s="16">
        <f t="shared" ref="D27:K27" si="0">D8+D10+D12+D13+D15+D17+D19+D21+D23+D25</f>
        <v>4474442</v>
      </c>
      <c r="E27" s="16">
        <f t="shared" si="0"/>
        <v>41508071</v>
      </c>
      <c r="F27" s="16">
        <f t="shared" si="0"/>
        <v>32538</v>
      </c>
      <c r="G27" s="16">
        <f t="shared" si="0"/>
        <v>117521755</v>
      </c>
      <c r="H27" s="16">
        <f t="shared" si="0"/>
        <v>18110146</v>
      </c>
      <c r="I27" s="16">
        <f t="shared" si="0"/>
        <v>22511314</v>
      </c>
      <c r="J27" s="16">
        <f t="shared" si="0"/>
        <v>120136490</v>
      </c>
      <c r="K27" s="66">
        <f t="shared" si="0"/>
        <v>23506623</v>
      </c>
    </row>
    <row r="28" spans="2:11" ht="16.5" thickBot="1" x14ac:dyDescent="0.3">
      <c r="B28" s="25"/>
      <c r="C28" s="26"/>
      <c r="D28" s="27"/>
      <c r="E28" s="27"/>
      <c r="F28" s="27"/>
      <c r="G28" s="27"/>
      <c r="H28" s="27"/>
      <c r="I28" s="27"/>
      <c r="J28" s="27"/>
      <c r="K28" s="67"/>
    </row>
    <row r="29" spans="2:11" ht="16.5" thickTop="1" x14ac:dyDescent="0.25">
      <c r="B29" s="1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5.75" x14ac:dyDescent="0.25">
      <c r="B30" s="33" t="s">
        <v>23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2:11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2" t="s">
        <v>0</v>
      </c>
      <c r="C33" s="3"/>
      <c r="D33" s="3"/>
      <c r="E33" s="7"/>
      <c r="F33" s="3"/>
      <c r="G33" s="7"/>
      <c r="H33" s="7"/>
      <c r="I33" s="7"/>
      <c r="J33" s="7"/>
      <c r="K33" s="7"/>
    </row>
    <row r="34" spans="2:11" ht="15.75" x14ac:dyDescent="0.25">
      <c r="B34" s="1"/>
      <c r="C34" s="36"/>
      <c r="E34" s="38"/>
      <c r="F34" s="38"/>
      <c r="G34" s="39" t="s">
        <v>1</v>
      </c>
      <c r="H34" s="38"/>
      <c r="I34" s="38"/>
      <c r="J34" s="38"/>
      <c r="K34" s="38"/>
    </row>
    <row r="35" spans="2:11" ht="15.75" x14ac:dyDescent="0.25">
      <c r="B35" s="6" t="s">
        <v>48</v>
      </c>
      <c r="C35" s="3"/>
      <c r="D35" s="3"/>
      <c r="E35" s="7"/>
      <c r="F35" s="3"/>
      <c r="G35" s="7"/>
      <c r="H35" s="7"/>
      <c r="I35" s="7"/>
      <c r="J35" s="7"/>
      <c r="K35" s="7"/>
    </row>
    <row r="36" spans="2:11" ht="16.5" thickBot="1" x14ac:dyDescent="0.3">
      <c r="B36" s="1"/>
      <c r="C36" s="36"/>
      <c r="D36" s="38"/>
      <c r="E36" s="38"/>
      <c r="F36" s="38"/>
      <c r="G36" s="38"/>
      <c r="H36" s="38"/>
      <c r="I36" s="38"/>
      <c r="J36" s="38"/>
      <c r="K36" s="38"/>
    </row>
    <row r="37" spans="2:11" ht="16.5" thickTop="1" x14ac:dyDescent="0.25">
      <c r="B37" s="41" t="s">
        <v>24</v>
      </c>
      <c r="C37" s="42" t="s">
        <v>3</v>
      </c>
      <c r="D37" s="62" t="s">
        <v>43</v>
      </c>
      <c r="E37" s="62" t="s">
        <v>40</v>
      </c>
      <c r="F37" s="43" t="s">
        <v>6</v>
      </c>
      <c r="G37" s="43" t="s">
        <v>7</v>
      </c>
      <c r="H37" s="43" t="s">
        <v>8</v>
      </c>
      <c r="I37" s="43" t="s">
        <v>25</v>
      </c>
      <c r="J37" s="44" t="s">
        <v>10</v>
      </c>
      <c r="K37" s="63" t="s">
        <v>11</v>
      </c>
    </row>
    <row r="38" spans="2:11" ht="15.75" x14ac:dyDescent="0.25">
      <c r="B38" s="45"/>
      <c r="C38" s="46"/>
      <c r="D38" s="47"/>
      <c r="E38" s="47"/>
      <c r="F38" s="47"/>
      <c r="G38" s="47"/>
      <c r="H38" s="47"/>
      <c r="I38" s="47"/>
      <c r="J38" s="48"/>
      <c r="K38" s="68"/>
    </row>
    <row r="39" spans="2:11" ht="15.75" x14ac:dyDescent="0.25">
      <c r="B39" s="45" t="s">
        <v>26</v>
      </c>
      <c r="C39" s="49">
        <f>SUM(D39:K39)</f>
        <v>25894021</v>
      </c>
      <c r="D39" s="50">
        <v>257934</v>
      </c>
      <c r="E39" s="50">
        <v>3098079</v>
      </c>
      <c r="F39" s="50">
        <v>0</v>
      </c>
      <c r="G39" s="50">
        <v>6806656</v>
      </c>
      <c r="H39" s="50">
        <v>1505221</v>
      </c>
      <c r="I39" s="73">
        <v>1928323</v>
      </c>
      <c r="J39" s="73">
        <v>10329513</v>
      </c>
      <c r="K39" s="74">
        <v>1968295</v>
      </c>
    </row>
    <row r="40" spans="2:11" ht="15.75" x14ac:dyDescent="0.25">
      <c r="B40" s="45" t="s">
        <v>27</v>
      </c>
      <c r="C40" s="49">
        <f>SUM(D40:K40)</f>
        <v>24479617</v>
      </c>
      <c r="D40" s="50">
        <v>520648</v>
      </c>
      <c r="E40" s="50">
        <v>3178722</v>
      </c>
      <c r="F40" s="50">
        <v>400</v>
      </c>
      <c r="G40" s="50">
        <v>7662383</v>
      </c>
      <c r="H40" s="50">
        <v>1418673</v>
      </c>
      <c r="I40" s="73">
        <v>2513147</v>
      </c>
      <c r="J40" s="73">
        <v>7289664</v>
      </c>
      <c r="K40" s="74">
        <v>1895980</v>
      </c>
    </row>
    <row r="41" spans="2:11" ht="15.75" x14ac:dyDescent="0.25">
      <c r="B41" s="45" t="s">
        <v>28</v>
      </c>
      <c r="C41" s="49">
        <f>SUM(D41:K41)</f>
        <v>27734999</v>
      </c>
      <c r="D41" s="50">
        <v>338119</v>
      </c>
      <c r="E41" s="50">
        <v>3021336</v>
      </c>
      <c r="F41" s="50">
        <v>5397</v>
      </c>
      <c r="G41" s="50">
        <v>11209737</v>
      </c>
      <c r="H41" s="50">
        <v>1246767</v>
      </c>
      <c r="I41" s="73">
        <v>445997</v>
      </c>
      <c r="J41" s="73">
        <v>9640597</v>
      </c>
      <c r="K41" s="74">
        <v>1827049</v>
      </c>
    </row>
    <row r="42" spans="2:11" ht="15.75" x14ac:dyDescent="0.25">
      <c r="B42" s="45"/>
      <c r="C42" s="49">
        <f t="shared" ref="C42:H42" si="1">C39+C40+C41</f>
        <v>78108637</v>
      </c>
      <c r="D42" s="50">
        <f t="shared" si="1"/>
        <v>1116701</v>
      </c>
      <c r="E42" s="50">
        <f t="shared" si="1"/>
        <v>9298137</v>
      </c>
      <c r="F42" s="50">
        <f t="shared" si="1"/>
        <v>5797</v>
      </c>
      <c r="G42" s="50">
        <f t="shared" si="1"/>
        <v>25678776</v>
      </c>
      <c r="H42" s="50">
        <f t="shared" si="1"/>
        <v>4170661</v>
      </c>
      <c r="I42" s="73">
        <f>SUM(I39:I41)</f>
        <v>4887467</v>
      </c>
      <c r="J42" s="73">
        <f>SUM(J39:J41)</f>
        <v>27259774</v>
      </c>
      <c r="K42" s="74">
        <f>K39+K40+K41</f>
        <v>5691324</v>
      </c>
    </row>
    <row r="43" spans="2:11" ht="15.75" x14ac:dyDescent="0.25">
      <c r="B43" s="45" t="s">
        <v>29</v>
      </c>
      <c r="C43" s="49">
        <f>SUM(D43:K43)</f>
        <v>28358237</v>
      </c>
      <c r="D43" s="50">
        <v>356306</v>
      </c>
      <c r="E43" s="50">
        <v>3401737</v>
      </c>
      <c r="F43" s="50">
        <v>996</v>
      </c>
      <c r="G43" s="50">
        <v>9071265</v>
      </c>
      <c r="H43" s="50">
        <v>1287390</v>
      </c>
      <c r="I43" s="73">
        <v>2924509</v>
      </c>
      <c r="J43" s="73">
        <v>9489267</v>
      </c>
      <c r="K43" s="74">
        <v>1826767</v>
      </c>
    </row>
    <row r="44" spans="2:11" ht="15.75" x14ac:dyDescent="0.25">
      <c r="B44" s="45" t="s">
        <v>30</v>
      </c>
      <c r="C44" s="49">
        <f>SUM(D44:K44)</f>
        <v>32428093</v>
      </c>
      <c r="D44" s="50">
        <v>379940</v>
      </c>
      <c r="E44" s="50">
        <v>3433721</v>
      </c>
      <c r="F44" s="50">
        <v>994</v>
      </c>
      <c r="G44" s="50">
        <v>11417424</v>
      </c>
      <c r="H44" s="50">
        <v>1443170</v>
      </c>
      <c r="I44" s="73">
        <v>2529058</v>
      </c>
      <c r="J44" s="73">
        <v>9587223</v>
      </c>
      <c r="K44" s="74">
        <v>3636563</v>
      </c>
    </row>
    <row r="45" spans="2:11" ht="15.75" x14ac:dyDescent="0.25">
      <c r="B45" s="45" t="s">
        <v>31</v>
      </c>
      <c r="C45" s="49">
        <f>SUM(D45:K45)</f>
        <v>28492706</v>
      </c>
      <c r="D45" s="50">
        <v>415577</v>
      </c>
      <c r="E45" s="50">
        <v>3675513</v>
      </c>
      <c r="F45" s="50">
        <v>5458</v>
      </c>
      <c r="G45" s="50">
        <v>9731372</v>
      </c>
      <c r="H45" s="50">
        <v>1426243</v>
      </c>
      <c r="I45" s="73">
        <v>1700097</v>
      </c>
      <c r="J45" s="73">
        <v>10022702</v>
      </c>
      <c r="K45" s="74">
        <v>1515744</v>
      </c>
    </row>
    <row r="46" spans="2:11" ht="15.75" x14ac:dyDescent="0.25">
      <c r="B46" s="45"/>
      <c r="C46" s="49">
        <f t="shared" ref="C46:H46" si="2">C43+C44+C45</f>
        <v>89279036</v>
      </c>
      <c r="D46" s="50">
        <f t="shared" si="2"/>
        <v>1151823</v>
      </c>
      <c r="E46" s="50">
        <f t="shared" si="2"/>
        <v>10510971</v>
      </c>
      <c r="F46" s="50">
        <f t="shared" si="2"/>
        <v>7448</v>
      </c>
      <c r="G46" s="50">
        <f t="shared" si="2"/>
        <v>30220061</v>
      </c>
      <c r="H46" s="50">
        <f t="shared" si="2"/>
        <v>4156803</v>
      </c>
      <c r="I46" s="73">
        <f>SUM(I43:I45)</f>
        <v>7153664</v>
      </c>
      <c r="J46" s="73">
        <f>SUM(J43:J45)</f>
        <v>29099192</v>
      </c>
      <c r="K46" s="74">
        <f>K43+K44+K45</f>
        <v>6979074</v>
      </c>
    </row>
    <row r="47" spans="2:11" ht="15.75" x14ac:dyDescent="0.25">
      <c r="B47" s="45" t="s">
        <v>32</v>
      </c>
      <c r="C47" s="49">
        <f>SUM(D47:K47)</f>
        <v>31258803</v>
      </c>
      <c r="D47" s="50">
        <v>333903</v>
      </c>
      <c r="E47" s="50">
        <v>3988889</v>
      </c>
      <c r="F47" s="50">
        <v>5948</v>
      </c>
      <c r="G47" s="50">
        <v>12743839</v>
      </c>
      <c r="H47" s="50">
        <v>1540921</v>
      </c>
      <c r="I47" s="73">
        <v>1743156</v>
      </c>
      <c r="J47" s="73">
        <v>9219644</v>
      </c>
      <c r="K47" s="74">
        <v>1682503</v>
      </c>
    </row>
    <row r="48" spans="2:11" ht="15.75" x14ac:dyDescent="0.25">
      <c r="B48" s="45" t="s">
        <v>41</v>
      </c>
      <c r="C48" s="49">
        <f>SUM(D48:K48)</f>
        <v>33627049</v>
      </c>
      <c r="D48" s="50">
        <v>384258</v>
      </c>
      <c r="E48" s="50">
        <v>4341153</v>
      </c>
      <c r="F48" s="50">
        <v>3075</v>
      </c>
      <c r="G48" s="50">
        <v>10839031</v>
      </c>
      <c r="H48" s="50">
        <v>1876158</v>
      </c>
      <c r="I48" s="73">
        <v>2563483</v>
      </c>
      <c r="J48" s="73">
        <v>11775563</v>
      </c>
      <c r="K48" s="74">
        <v>1844328</v>
      </c>
    </row>
    <row r="49" spans="2:11" ht="15.75" x14ac:dyDescent="0.25">
      <c r="B49" s="45" t="s">
        <v>34</v>
      </c>
      <c r="C49" s="49">
        <f>SUM(D49:K49)</f>
        <v>33731470</v>
      </c>
      <c r="D49" s="50">
        <v>274102</v>
      </c>
      <c r="E49" s="50">
        <v>3967988</v>
      </c>
      <c r="F49" s="50">
        <v>993</v>
      </c>
      <c r="G49" s="50">
        <v>11781602</v>
      </c>
      <c r="H49" s="50">
        <v>1803941</v>
      </c>
      <c r="I49" s="73">
        <v>1979699</v>
      </c>
      <c r="J49" s="73">
        <v>12159974</v>
      </c>
      <c r="K49" s="74">
        <v>1763171</v>
      </c>
    </row>
    <row r="50" spans="2:11" ht="15.75" x14ac:dyDescent="0.25">
      <c r="B50" s="45"/>
      <c r="C50" s="49">
        <f t="shared" ref="C50:K50" si="3">C47+C48+C49</f>
        <v>98617322</v>
      </c>
      <c r="D50" s="50">
        <f t="shared" si="3"/>
        <v>992263</v>
      </c>
      <c r="E50" s="50">
        <f t="shared" si="3"/>
        <v>12298030</v>
      </c>
      <c r="F50" s="50">
        <f t="shared" si="3"/>
        <v>10016</v>
      </c>
      <c r="G50" s="50">
        <f t="shared" si="3"/>
        <v>35364472</v>
      </c>
      <c r="H50" s="50">
        <f t="shared" si="3"/>
        <v>5221020</v>
      </c>
      <c r="I50" s="73">
        <f>SUM(I47:I49)</f>
        <v>6286338</v>
      </c>
      <c r="J50" s="73">
        <f>SUM(J47:J49)</f>
        <v>33155181</v>
      </c>
      <c r="K50" s="74">
        <f t="shared" si="3"/>
        <v>5290002</v>
      </c>
    </row>
    <row r="51" spans="2:11" ht="15.75" x14ac:dyDescent="0.25">
      <c r="B51" s="45" t="s">
        <v>35</v>
      </c>
      <c r="C51" s="49">
        <f>SUM(D51:K51)</f>
        <v>25840236</v>
      </c>
      <c r="D51" s="50">
        <v>498259</v>
      </c>
      <c r="E51" s="50">
        <v>3199487</v>
      </c>
      <c r="F51" s="50">
        <v>896</v>
      </c>
      <c r="G51" s="50">
        <v>7802692</v>
      </c>
      <c r="H51" s="50">
        <v>1356498</v>
      </c>
      <c r="I51" s="73">
        <v>1255102</v>
      </c>
      <c r="J51" s="73">
        <v>9843380</v>
      </c>
      <c r="K51" s="74">
        <v>1883922</v>
      </c>
    </row>
    <row r="52" spans="2:11" ht="15.75" x14ac:dyDescent="0.25">
      <c r="B52" s="45" t="s">
        <v>36</v>
      </c>
      <c r="C52" s="49">
        <f>SUM(D52:K52)</f>
        <v>30486961</v>
      </c>
      <c r="D52" s="50">
        <v>347068</v>
      </c>
      <c r="E52" s="50">
        <v>3128959</v>
      </c>
      <c r="F52" s="50">
        <v>4687</v>
      </c>
      <c r="G52" s="50">
        <v>11118745</v>
      </c>
      <c r="H52" s="50">
        <v>1619691</v>
      </c>
      <c r="I52" s="73">
        <v>1740562</v>
      </c>
      <c r="J52" s="73">
        <v>10706529</v>
      </c>
      <c r="K52" s="74">
        <v>1820720</v>
      </c>
    </row>
    <row r="53" spans="2:11" ht="15.75" x14ac:dyDescent="0.25">
      <c r="B53" s="45" t="s">
        <v>37</v>
      </c>
      <c r="C53" s="49">
        <f>SUM(D53:K53)</f>
        <v>25469187</v>
      </c>
      <c r="D53" s="50">
        <v>368328</v>
      </c>
      <c r="E53" s="50">
        <v>3072487</v>
      </c>
      <c r="F53" s="50">
        <v>3694</v>
      </c>
      <c r="G53" s="50">
        <v>7337009</v>
      </c>
      <c r="H53" s="50">
        <v>1585473</v>
      </c>
      <c r="I53" s="73">
        <v>1188181</v>
      </c>
      <c r="J53" s="73">
        <v>10072434</v>
      </c>
      <c r="K53" s="74">
        <v>1841581</v>
      </c>
    </row>
    <row r="54" spans="2:11" ht="15.75" x14ac:dyDescent="0.25">
      <c r="B54" s="45"/>
      <c r="C54" s="49">
        <f t="shared" ref="C54:K54" si="4">C51+C52+C53</f>
        <v>81796384</v>
      </c>
      <c r="D54" s="50">
        <f t="shared" si="4"/>
        <v>1213655</v>
      </c>
      <c r="E54" s="50">
        <f t="shared" si="4"/>
        <v>9400933</v>
      </c>
      <c r="F54" s="50">
        <f t="shared" si="4"/>
        <v>9277</v>
      </c>
      <c r="G54" s="50">
        <f t="shared" si="4"/>
        <v>26258446</v>
      </c>
      <c r="H54" s="50">
        <f t="shared" si="4"/>
        <v>4561662</v>
      </c>
      <c r="I54" s="73">
        <f>SUM(I51:I53)</f>
        <v>4183845</v>
      </c>
      <c r="J54" s="75">
        <f>SUM(J51:J53)</f>
        <v>30622343</v>
      </c>
      <c r="K54" s="74">
        <f t="shared" si="4"/>
        <v>5546223</v>
      </c>
    </row>
    <row r="55" spans="2:11" ht="15" x14ac:dyDescent="0.25">
      <c r="B55" s="70" t="s">
        <v>38</v>
      </c>
      <c r="C55" s="49">
        <f t="shared" ref="C55:K55" si="5">C39+C40+C41+C43+C44+C45+C47+C48+C49+C51+C52+C53</f>
        <v>347801379</v>
      </c>
      <c r="D55" s="50">
        <f t="shared" si="5"/>
        <v>4474442</v>
      </c>
      <c r="E55" s="50">
        <f t="shared" si="5"/>
        <v>41508071</v>
      </c>
      <c r="F55" s="50">
        <f t="shared" si="5"/>
        <v>32538</v>
      </c>
      <c r="G55" s="50">
        <f t="shared" si="5"/>
        <v>117521755</v>
      </c>
      <c r="H55" s="50">
        <f t="shared" si="5"/>
        <v>18110146</v>
      </c>
      <c r="I55" s="50">
        <f t="shared" si="5"/>
        <v>22511314</v>
      </c>
      <c r="J55" s="51">
        <f t="shared" si="5"/>
        <v>120136490</v>
      </c>
      <c r="K55" s="69">
        <f t="shared" si="5"/>
        <v>23506623</v>
      </c>
    </row>
    <row r="56" spans="2:11" ht="16.5" thickBot="1" x14ac:dyDescent="0.3">
      <c r="B56" s="58"/>
      <c r="C56" s="26"/>
      <c r="D56" s="27"/>
      <c r="E56" s="27"/>
      <c r="F56" s="27"/>
      <c r="G56" s="27"/>
      <c r="H56" s="27"/>
      <c r="I56" s="27"/>
      <c r="J56" s="28"/>
      <c r="K56" s="67"/>
    </row>
    <row r="57" spans="2:11" ht="16.5" thickTop="1" x14ac:dyDescent="0.25">
      <c r="B57" s="1"/>
      <c r="C57" s="59"/>
      <c r="D57" s="60"/>
      <c r="E57" s="60"/>
      <c r="F57" s="60"/>
      <c r="G57" s="60"/>
      <c r="H57" s="60"/>
      <c r="I57" s="60"/>
      <c r="J57" s="60"/>
      <c r="K57" s="60"/>
    </row>
    <row r="58" spans="2:11" ht="15.75" x14ac:dyDescent="0.25">
      <c r="B58" s="33" t="s">
        <v>23</v>
      </c>
      <c r="C58" s="59"/>
      <c r="D58" s="60"/>
      <c r="E58" s="60"/>
      <c r="F58" s="60"/>
      <c r="G58" s="60"/>
      <c r="H58" s="60"/>
      <c r="I58" s="60"/>
      <c r="J58" s="60"/>
      <c r="K58" s="60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8"/>
  <sheetViews>
    <sheetView topLeftCell="A4" workbookViewId="0">
      <selection activeCell="D27" sqref="D27:K27"/>
    </sheetView>
  </sheetViews>
  <sheetFormatPr defaultRowHeight="12.75" x14ac:dyDescent="0.2"/>
  <cols>
    <col min="1" max="1" width="9.140625" style="37"/>
    <col min="2" max="2" width="16.28515625" style="37" customWidth="1"/>
    <col min="3" max="3" width="15.28515625" style="37" customWidth="1"/>
    <col min="4" max="4" width="14.140625" style="37" customWidth="1"/>
    <col min="5" max="5" width="14.28515625" style="37" customWidth="1"/>
    <col min="6" max="6" width="11.7109375" style="37" customWidth="1"/>
    <col min="7" max="7" width="15.28515625" style="37" customWidth="1"/>
    <col min="8" max="8" width="14.5703125" style="37" customWidth="1"/>
    <col min="9" max="9" width="15" style="37" customWidth="1"/>
    <col min="10" max="10" width="14.5703125" style="37" customWidth="1"/>
    <col min="11" max="11" width="14.28515625" style="37" customWidth="1"/>
    <col min="12" max="257" width="9.140625" style="37"/>
    <col min="258" max="258" width="16.28515625" style="37" customWidth="1"/>
    <col min="259" max="259" width="15.28515625" style="37" customWidth="1"/>
    <col min="260" max="260" width="14.140625" style="37" customWidth="1"/>
    <col min="261" max="261" width="14.28515625" style="37" customWidth="1"/>
    <col min="262" max="262" width="11.7109375" style="37" customWidth="1"/>
    <col min="263" max="263" width="15.28515625" style="37" customWidth="1"/>
    <col min="264" max="264" width="14.5703125" style="37" customWidth="1"/>
    <col min="265" max="265" width="15" style="37" customWidth="1"/>
    <col min="266" max="266" width="14.5703125" style="37" customWidth="1"/>
    <col min="267" max="267" width="14.28515625" style="37" customWidth="1"/>
    <col min="268" max="513" width="9.140625" style="37"/>
    <col min="514" max="514" width="16.28515625" style="37" customWidth="1"/>
    <col min="515" max="515" width="15.28515625" style="37" customWidth="1"/>
    <col min="516" max="516" width="14.140625" style="37" customWidth="1"/>
    <col min="517" max="517" width="14.28515625" style="37" customWidth="1"/>
    <col min="518" max="518" width="11.7109375" style="37" customWidth="1"/>
    <col min="519" max="519" width="15.28515625" style="37" customWidth="1"/>
    <col min="520" max="520" width="14.5703125" style="37" customWidth="1"/>
    <col min="521" max="521" width="15" style="37" customWidth="1"/>
    <col min="522" max="522" width="14.5703125" style="37" customWidth="1"/>
    <col min="523" max="523" width="14.28515625" style="37" customWidth="1"/>
    <col min="524" max="769" width="9.140625" style="37"/>
    <col min="770" max="770" width="16.28515625" style="37" customWidth="1"/>
    <col min="771" max="771" width="15.28515625" style="37" customWidth="1"/>
    <col min="772" max="772" width="14.140625" style="37" customWidth="1"/>
    <col min="773" max="773" width="14.28515625" style="37" customWidth="1"/>
    <col min="774" max="774" width="11.7109375" style="37" customWidth="1"/>
    <col min="775" max="775" width="15.28515625" style="37" customWidth="1"/>
    <col min="776" max="776" width="14.5703125" style="37" customWidth="1"/>
    <col min="777" max="777" width="15" style="37" customWidth="1"/>
    <col min="778" max="778" width="14.5703125" style="37" customWidth="1"/>
    <col min="779" max="779" width="14.28515625" style="37" customWidth="1"/>
    <col min="780" max="1025" width="9.140625" style="37"/>
    <col min="1026" max="1026" width="16.28515625" style="37" customWidth="1"/>
    <col min="1027" max="1027" width="15.28515625" style="37" customWidth="1"/>
    <col min="1028" max="1028" width="14.140625" style="37" customWidth="1"/>
    <col min="1029" max="1029" width="14.28515625" style="37" customWidth="1"/>
    <col min="1030" max="1030" width="11.7109375" style="37" customWidth="1"/>
    <col min="1031" max="1031" width="15.28515625" style="37" customWidth="1"/>
    <col min="1032" max="1032" width="14.5703125" style="37" customWidth="1"/>
    <col min="1033" max="1033" width="15" style="37" customWidth="1"/>
    <col min="1034" max="1034" width="14.5703125" style="37" customWidth="1"/>
    <col min="1035" max="1035" width="14.28515625" style="37" customWidth="1"/>
    <col min="1036" max="1281" width="9.140625" style="37"/>
    <col min="1282" max="1282" width="16.28515625" style="37" customWidth="1"/>
    <col min="1283" max="1283" width="15.28515625" style="37" customWidth="1"/>
    <col min="1284" max="1284" width="14.140625" style="37" customWidth="1"/>
    <col min="1285" max="1285" width="14.28515625" style="37" customWidth="1"/>
    <col min="1286" max="1286" width="11.7109375" style="37" customWidth="1"/>
    <col min="1287" max="1287" width="15.28515625" style="37" customWidth="1"/>
    <col min="1288" max="1288" width="14.5703125" style="37" customWidth="1"/>
    <col min="1289" max="1289" width="15" style="37" customWidth="1"/>
    <col min="1290" max="1290" width="14.5703125" style="37" customWidth="1"/>
    <col min="1291" max="1291" width="14.28515625" style="37" customWidth="1"/>
    <col min="1292" max="1537" width="9.140625" style="37"/>
    <col min="1538" max="1538" width="16.28515625" style="37" customWidth="1"/>
    <col min="1539" max="1539" width="15.28515625" style="37" customWidth="1"/>
    <col min="1540" max="1540" width="14.140625" style="37" customWidth="1"/>
    <col min="1541" max="1541" width="14.28515625" style="37" customWidth="1"/>
    <col min="1542" max="1542" width="11.7109375" style="37" customWidth="1"/>
    <col min="1543" max="1543" width="15.28515625" style="37" customWidth="1"/>
    <col min="1544" max="1544" width="14.5703125" style="37" customWidth="1"/>
    <col min="1545" max="1545" width="15" style="37" customWidth="1"/>
    <col min="1546" max="1546" width="14.5703125" style="37" customWidth="1"/>
    <col min="1547" max="1547" width="14.28515625" style="37" customWidth="1"/>
    <col min="1548" max="1793" width="9.140625" style="37"/>
    <col min="1794" max="1794" width="16.28515625" style="37" customWidth="1"/>
    <col min="1795" max="1795" width="15.28515625" style="37" customWidth="1"/>
    <col min="1796" max="1796" width="14.140625" style="37" customWidth="1"/>
    <col min="1797" max="1797" width="14.28515625" style="37" customWidth="1"/>
    <col min="1798" max="1798" width="11.7109375" style="37" customWidth="1"/>
    <col min="1799" max="1799" width="15.28515625" style="37" customWidth="1"/>
    <col min="1800" max="1800" width="14.5703125" style="37" customWidth="1"/>
    <col min="1801" max="1801" width="15" style="37" customWidth="1"/>
    <col min="1802" max="1802" width="14.5703125" style="37" customWidth="1"/>
    <col min="1803" max="1803" width="14.28515625" style="37" customWidth="1"/>
    <col min="1804" max="2049" width="9.140625" style="37"/>
    <col min="2050" max="2050" width="16.28515625" style="37" customWidth="1"/>
    <col min="2051" max="2051" width="15.28515625" style="37" customWidth="1"/>
    <col min="2052" max="2052" width="14.140625" style="37" customWidth="1"/>
    <col min="2053" max="2053" width="14.28515625" style="37" customWidth="1"/>
    <col min="2054" max="2054" width="11.7109375" style="37" customWidth="1"/>
    <col min="2055" max="2055" width="15.28515625" style="37" customWidth="1"/>
    <col min="2056" max="2056" width="14.5703125" style="37" customWidth="1"/>
    <col min="2057" max="2057" width="15" style="37" customWidth="1"/>
    <col min="2058" max="2058" width="14.5703125" style="37" customWidth="1"/>
    <col min="2059" max="2059" width="14.28515625" style="37" customWidth="1"/>
    <col min="2060" max="2305" width="9.140625" style="37"/>
    <col min="2306" max="2306" width="16.28515625" style="37" customWidth="1"/>
    <col min="2307" max="2307" width="15.28515625" style="37" customWidth="1"/>
    <col min="2308" max="2308" width="14.140625" style="37" customWidth="1"/>
    <col min="2309" max="2309" width="14.28515625" style="37" customWidth="1"/>
    <col min="2310" max="2310" width="11.7109375" style="37" customWidth="1"/>
    <col min="2311" max="2311" width="15.28515625" style="37" customWidth="1"/>
    <col min="2312" max="2312" width="14.5703125" style="37" customWidth="1"/>
    <col min="2313" max="2313" width="15" style="37" customWidth="1"/>
    <col min="2314" max="2314" width="14.5703125" style="37" customWidth="1"/>
    <col min="2315" max="2315" width="14.28515625" style="37" customWidth="1"/>
    <col min="2316" max="2561" width="9.140625" style="37"/>
    <col min="2562" max="2562" width="16.28515625" style="37" customWidth="1"/>
    <col min="2563" max="2563" width="15.28515625" style="37" customWidth="1"/>
    <col min="2564" max="2564" width="14.140625" style="37" customWidth="1"/>
    <col min="2565" max="2565" width="14.28515625" style="37" customWidth="1"/>
    <col min="2566" max="2566" width="11.7109375" style="37" customWidth="1"/>
    <col min="2567" max="2567" width="15.28515625" style="37" customWidth="1"/>
    <col min="2568" max="2568" width="14.5703125" style="37" customWidth="1"/>
    <col min="2569" max="2569" width="15" style="37" customWidth="1"/>
    <col min="2570" max="2570" width="14.5703125" style="37" customWidth="1"/>
    <col min="2571" max="2571" width="14.28515625" style="37" customWidth="1"/>
    <col min="2572" max="2817" width="9.140625" style="37"/>
    <col min="2818" max="2818" width="16.28515625" style="37" customWidth="1"/>
    <col min="2819" max="2819" width="15.28515625" style="37" customWidth="1"/>
    <col min="2820" max="2820" width="14.140625" style="37" customWidth="1"/>
    <col min="2821" max="2821" width="14.28515625" style="37" customWidth="1"/>
    <col min="2822" max="2822" width="11.7109375" style="37" customWidth="1"/>
    <col min="2823" max="2823" width="15.28515625" style="37" customWidth="1"/>
    <col min="2824" max="2824" width="14.5703125" style="37" customWidth="1"/>
    <col min="2825" max="2825" width="15" style="37" customWidth="1"/>
    <col min="2826" max="2826" width="14.5703125" style="37" customWidth="1"/>
    <col min="2827" max="2827" width="14.28515625" style="37" customWidth="1"/>
    <col min="2828" max="3073" width="9.140625" style="37"/>
    <col min="3074" max="3074" width="16.28515625" style="37" customWidth="1"/>
    <col min="3075" max="3075" width="15.28515625" style="37" customWidth="1"/>
    <col min="3076" max="3076" width="14.140625" style="37" customWidth="1"/>
    <col min="3077" max="3077" width="14.28515625" style="37" customWidth="1"/>
    <col min="3078" max="3078" width="11.7109375" style="37" customWidth="1"/>
    <col min="3079" max="3079" width="15.28515625" style="37" customWidth="1"/>
    <col min="3080" max="3080" width="14.5703125" style="37" customWidth="1"/>
    <col min="3081" max="3081" width="15" style="37" customWidth="1"/>
    <col min="3082" max="3082" width="14.5703125" style="37" customWidth="1"/>
    <col min="3083" max="3083" width="14.28515625" style="37" customWidth="1"/>
    <col min="3084" max="3329" width="9.140625" style="37"/>
    <col min="3330" max="3330" width="16.28515625" style="37" customWidth="1"/>
    <col min="3331" max="3331" width="15.28515625" style="37" customWidth="1"/>
    <col min="3332" max="3332" width="14.140625" style="37" customWidth="1"/>
    <col min="3333" max="3333" width="14.28515625" style="37" customWidth="1"/>
    <col min="3334" max="3334" width="11.7109375" style="37" customWidth="1"/>
    <col min="3335" max="3335" width="15.28515625" style="37" customWidth="1"/>
    <col min="3336" max="3336" width="14.5703125" style="37" customWidth="1"/>
    <col min="3337" max="3337" width="15" style="37" customWidth="1"/>
    <col min="3338" max="3338" width="14.5703125" style="37" customWidth="1"/>
    <col min="3339" max="3339" width="14.28515625" style="37" customWidth="1"/>
    <col min="3340" max="3585" width="9.140625" style="37"/>
    <col min="3586" max="3586" width="16.28515625" style="37" customWidth="1"/>
    <col min="3587" max="3587" width="15.28515625" style="37" customWidth="1"/>
    <col min="3588" max="3588" width="14.140625" style="37" customWidth="1"/>
    <col min="3589" max="3589" width="14.28515625" style="37" customWidth="1"/>
    <col min="3590" max="3590" width="11.7109375" style="37" customWidth="1"/>
    <col min="3591" max="3591" width="15.28515625" style="37" customWidth="1"/>
    <col min="3592" max="3592" width="14.5703125" style="37" customWidth="1"/>
    <col min="3593" max="3593" width="15" style="37" customWidth="1"/>
    <col min="3594" max="3594" width="14.5703125" style="37" customWidth="1"/>
    <col min="3595" max="3595" width="14.28515625" style="37" customWidth="1"/>
    <col min="3596" max="3841" width="9.140625" style="37"/>
    <col min="3842" max="3842" width="16.28515625" style="37" customWidth="1"/>
    <col min="3843" max="3843" width="15.28515625" style="37" customWidth="1"/>
    <col min="3844" max="3844" width="14.140625" style="37" customWidth="1"/>
    <col min="3845" max="3845" width="14.28515625" style="37" customWidth="1"/>
    <col min="3846" max="3846" width="11.7109375" style="37" customWidth="1"/>
    <col min="3847" max="3847" width="15.28515625" style="37" customWidth="1"/>
    <col min="3848" max="3848" width="14.5703125" style="37" customWidth="1"/>
    <col min="3849" max="3849" width="15" style="37" customWidth="1"/>
    <col min="3850" max="3850" width="14.5703125" style="37" customWidth="1"/>
    <col min="3851" max="3851" width="14.28515625" style="37" customWidth="1"/>
    <col min="3852" max="4097" width="9.140625" style="37"/>
    <col min="4098" max="4098" width="16.28515625" style="37" customWidth="1"/>
    <col min="4099" max="4099" width="15.28515625" style="37" customWidth="1"/>
    <col min="4100" max="4100" width="14.140625" style="37" customWidth="1"/>
    <col min="4101" max="4101" width="14.28515625" style="37" customWidth="1"/>
    <col min="4102" max="4102" width="11.7109375" style="37" customWidth="1"/>
    <col min="4103" max="4103" width="15.28515625" style="37" customWidth="1"/>
    <col min="4104" max="4104" width="14.5703125" style="37" customWidth="1"/>
    <col min="4105" max="4105" width="15" style="37" customWidth="1"/>
    <col min="4106" max="4106" width="14.5703125" style="37" customWidth="1"/>
    <col min="4107" max="4107" width="14.28515625" style="37" customWidth="1"/>
    <col min="4108" max="4353" width="9.140625" style="37"/>
    <col min="4354" max="4354" width="16.28515625" style="37" customWidth="1"/>
    <col min="4355" max="4355" width="15.28515625" style="37" customWidth="1"/>
    <col min="4356" max="4356" width="14.140625" style="37" customWidth="1"/>
    <col min="4357" max="4357" width="14.28515625" style="37" customWidth="1"/>
    <col min="4358" max="4358" width="11.7109375" style="37" customWidth="1"/>
    <col min="4359" max="4359" width="15.28515625" style="37" customWidth="1"/>
    <col min="4360" max="4360" width="14.5703125" style="37" customWidth="1"/>
    <col min="4361" max="4361" width="15" style="37" customWidth="1"/>
    <col min="4362" max="4362" width="14.5703125" style="37" customWidth="1"/>
    <col min="4363" max="4363" width="14.28515625" style="37" customWidth="1"/>
    <col min="4364" max="4609" width="9.140625" style="37"/>
    <col min="4610" max="4610" width="16.28515625" style="37" customWidth="1"/>
    <col min="4611" max="4611" width="15.28515625" style="37" customWidth="1"/>
    <col min="4612" max="4612" width="14.140625" style="37" customWidth="1"/>
    <col min="4613" max="4613" width="14.28515625" style="37" customWidth="1"/>
    <col min="4614" max="4614" width="11.7109375" style="37" customWidth="1"/>
    <col min="4615" max="4615" width="15.28515625" style="37" customWidth="1"/>
    <col min="4616" max="4616" width="14.5703125" style="37" customWidth="1"/>
    <col min="4617" max="4617" width="15" style="37" customWidth="1"/>
    <col min="4618" max="4618" width="14.5703125" style="37" customWidth="1"/>
    <col min="4619" max="4619" width="14.28515625" style="37" customWidth="1"/>
    <col min="4620" max="4865" width="9.140625" style="37"/>
    <col min="4866" max="4866" width="16.28515625" style="37" customWidth="1"/>
    <col min="4867" max="4867" width="15.28515625" style="37" customWidth="1"/>
    <col min="4868" max="4868" width="14.140625" style="37" customWidth="1"/>
    <col min="4869" max="4869" width="14.28515625" style="37" customWidth="1"/>
    <col min="4870" max="4870" width="11.7109375" style="37" customWidth="1"/>
    <col min="4871" max="4871" width="15.28515625" style="37" customWidth="1"/>
    <col min="4872" max="4872" width="14.5703125" style="37" customWidth="1"/>
    <col min="4873" max="4873" width="15" style="37" customWidth="1"/>
    <col min="4874" max="4874" width="14.5703125" style="37" customWidth="1"/>
    <col min="4875" max="4875" width="14.28515625" style="37" customWidth="1"/>
    <col min="4876" max="5121" width="9.140625" style="37"/>
    <col min="5122" max="5122" width="16.28515625" style="37" customWidth="1"/>
    <col min="5123" max="5123" width="15.28515625" style="37" customWidth="1"/>
    <col min="5124" max="5124" width="14.140625" style="37" customWidth="1"/>
    <col min="5125" max="5125" width="14.28515625" style="37" customWidth="1"/>
    <col min="5126" max="5126" width="11.7109375" style="37" customWidth="1"/>
    <col min="5127" max="5127" width="15.28515625" style="37" customWidth="1"/>
    <col min="5128" max="5128" width="14.5703125" style="37" customWidth="1"/>
    <col min="5129" max="5129" width="15" style="37" customWidth="1"/>
    <col min="5130" max="5130" width="14.5703125" style="37" customWidth="1"/>
    <col min="5131" max="5131" width="14.28515625" style="37" customWidth="1"/>
    <col min="5132" max="5377" width="9.140625" style="37"/>
    <col min="5378" max="5378" width="16.28515625" style="37" customWidth="1"/>
    <col min="5379" max="5379" width="15.28515625" style="37" customWidth="1"/>
    <col min="5380" max="5380" width="14.140625" style="37" customWidth="1"/>
    <col min="5381" max="5381" width="14.28515625" style="37" customWidth="1"/>
    <col min="5382" max="5382" width="11.7109375" style="37" customWidth="1"/>
    <col min="5383" max="5383" width="15.28515625" style="37" customWidth="1"/>
    <col min="5384" max="5384" width="14.5703125" style="37" customWidth="1"/>
    <col min="5385" max="5385" width="15" style="37" customWidth="1"/>
    <col min="5386" max="5386" width="14.5703125" style="37" customWidth="1"/>
    <col min="5387" max="5387" width="14.28515625" style="37" customWidth="1"/>
    <col min="5388" max="5633" width="9.140625" style="37"/>
    <col min="5634" max="5634" width="16.28515625" style="37" customWidth="1"/>
    <col min="5635" max="5635" width="15.28515625" style="37" customWidth="1"/>
    <col min="5636" max="5636" width="14.140625" style="37" customWidth="1"/>
    <col min="5637" max="5637" width="14.28515625" style="37" customWidth="1"/>
    <col min="5638" max="5638" width="11.7109375" style="37" customWidth="1"/>
    <col min="5639" max="5639" width="15.28515625" style="37" customWidth="1"/>
    <col min="5640" max="5640" width="14.5703125" style="37" customWidth="1"/>
    <col min="5641" max="5641" width="15" style="37" customWidth="1"/>
    <col min="5642" max="5642" width="14.5703125" style="37" customWidth="1"/>
    <col min="5643" max="5643" width="14.28515625" style="37" customWidth="1"/>
    <col min="5644" max="5889" width="9.140625" style="37"/>
    <col min="5890" max="5890" width="16.28515625" style="37" customWidth="1"/>
    <col min="5891" max="5891" width="15.28515625" style="37" customWidth="1"/>
    <col min="5892" max="5892" width="14.140625" style="37" customWidth="1"/>
    <col min="5893" max="5893" width="14.28515625" style="37" customWidth="1"/>
    <col min="5894" max="5894" width="11.7109375" style="37" customWidth="1"/>
    <col min="5895" max="5895" width="15.28515625" style="37" customWidth="1"/>
    <col min="5896" max="5896" width="14.5703125" style="37" customWidth="1"/>
    <col min="5897" max="5897" width="15" style="37" customWidth="1"/>
    <col min="5898" max="5898" width="14.5703125" style="37" customWidth="1"/>
    <col min="5899" max="5899" width="14.28515625" style="37" customWidth="1"/>
    <col min="5900" max="6145" width="9.140625" style="37"/>
    <col min="6146" max="6146" width="16.28515625" style="37" customWidth="1"/>
    <col min="6147" max="6147" width="15.28515625" style="37" customWidth="1"/>
    <col min="6148" max="6148" width="14.140625" style="37" customWidth="1"/>
    <col min="6149" max="6149" width="14.28515625" style="37" customWidth="1"/>
    <col min="6150" max="6150" width="11.7109375" style="37" customWidth="1"/>
    <col min="6151" max="6151" width="15.28515625" style="37" customWidth="1"/>
    <col min="6152" max="6152" width="14.5703125" style="37" customWidth="1"/>
    <col min="6153" max="6153" width="15" style="37" customWidth="1"/>
    <col min="6154" max="6154" width="14.5703125" style="37" customWidth="1"/>
    <col min="6155" max="6155" width="14.28515625" style="37" customWidth="1"/>
    <col min="6156" max="6401" width="9.140625" style="37"/>
    <col min="6402" max="6402" width="16.28515625" style="37" customWidth="1"/>
    <col min="6403" max="6403" width="15.28515625" style="37" customWidth="1"/>
    <col min="6404" max="6404" width="14.140625" style="37" customWidth="1"/>
    <col min="6405" max="6405" width="14.28515625" style="37" customWidth="1"/>
    <col min="6406" max="6406" width="11.7109375" style="37" customWidth="1"/>
    <col min="6407" max="6407" width="15.28515625" style="37" customWidth="1"/>
    <col min="6408" max="6408" width="14.5703125" style="37" customWidth="1"/>
    <col min="6409" max="6409" width="15" style="37" customWidth="1"/>
    <col min="6410" max="6410" width="14.5703125" style="37" customWidth="1"/>
    <col min="6411" max="6411" width="14.28515625" style="37" customWidth="1"/>
    <col min="6412" max="6657" width="9.140625" style="37"/>
    <col min="6658" max="6658" width="16.28515625" style="37" customWidth="1"/>
    <col min="6659" max="6659" width="15.28515625" style="37" customWidth="1"/>
    <col min="6660" max="6660" width="14.140625" style="37" customWidth="1"/>
    <col min="6661" max="6661" width="14.28515625" style="37" customWidth="1"/>
    <col min="6662" max="6662" width="11.7109375" style="37" customWidth="1"/>
    <col min="6663" max="6663" width="15.28515625" style="37" customWidth="1"/>
    <col min="6664" max="6664" width="14.5703125" style="37" customWidth="1"/>
    <col min="6665" max="6665" width="15" style="37" customWidth="1"/>
    <col min="6666" max="6666" width="14.5703125" style="37" customWidth="1"/>
    <col min="6667" max="6667" width="14.28515625" style="37" customWidth="1"/>
    <col min="6668" max="6913" width="9.140625" style="37"/>
    <col min="6914" max="6914" width="16.28515625" style="37" customWidth="1"/>
    <col min="6915" max="6915" width="15.28515625" style="37" customWidth="1"/>
    <col min="6916" max="6916" width="14.140625" style="37" customWidth="1"/>
    <col min="6917" max="6917" width="14.28515625" style="37" customWidth="1"/>
    <col min="6918" max="6918" width="11.7109375" style="37" customWidth="1"/>
    <col min="6919" max="6919" width="15.28515625" style="37" customWidth="1"/>
    <col min="6920" max="6920" width="14.5703125" style="37" customWidth="1"/>
    <col min="6921" max="6921" width="15" style="37" customWidth="1"/>
    <col min="6922" max="6922" width="14.5703125" style="37" customWidth="1"/>
    <col min="6923" max="6923" width="14.28515625" style="37" customWidth="1"/>
    <col min="6924" max="7169" width="9.140625" style="37"/>
    <col min="7170" max="7170" width="16.28515625" style="37" customWidth="1"/>
    <col min="7171" max="7171" width="15.28515625" style="37" customWidth="1"/>
    <col min="7172" max="7172" width="14.140625" style="37" customWidth="1"/>
    <col min="7173" max="7173" width="14.28515625" style="37" customWidth="1"/>
    <col min="7174" max="7174" width="11.7109375" style="37" customWidth="1"/>
    <col min="7175" max="7175" width="15.28515625" style="37" customWidth="1"/>
    <col min="7176" max="7176" width="14.5703125" style="37" customWidth="1"/>
    <col min="7177" max="7177" width="15" style="37" customWidth="1"/>
    <col min="7178" max="7178" width="14.5703125" style="37" customWidth="1"/>
    <col min="7179" max="7179" width="14.28515625" style="37" customWidth="1"/>
    <col min="7180" max="7425" width="9.140625" style="37"/>
    <col min="7426" max="7426" width="16.28515625" style="37" customWidth="1"/>
    <col min="7427" max="7427" width="15.28515625" style="37" customWidth="1"/>
    <col min="7428" max="7428" width="14.140625" style="37" customWidth="1"/>
    <col min="7429" max="7429" width="14.28515625" style="37" customWidth="1"/>
    <col min="7430" max="7430" width="11.7109375" style="37" customWidth="1"/>
    <col min="7431" max="7431" width="15.28515625" style="37" customWidth="1"/>
    <col min="7432" max="7432" width="14.5703125" style="37" customWidth="1"/>
    <col min="7433" max="7433" width="15" style="37" customWidth="1"/>
    <col min="7434" max="7434" width="14.5703125" style="37" customWidth="1"/>
    <col min="7435" max="7435" width="14.28515625" style="37" customWidth="1"/>
    <col min="7436" max="7681" width="9.140625" style="37"/>
    <col min="7682" max="7682" width="16.28515625" style="37" customWidth="1"/>
    <col min="7683" max="7683" width="15.28515625" style="37" customWidth="1"/>
    <col min="7684" max="7684" width="14.140625" style="37" customWidth="1"/>
    <col min="7685" max="7685" width="14.28515625" style="37" customWidth="1"/>
    <col min="7686" max="7686" width="11.7109375" style="37" customWidth="1"/>
    <col min="7687" max="7687" width="15.28515625" style="37" customWidth="1"/>
    <col min="7688" max="7688" width="14.5703125" style="37" customWidth="1"/>
    <col min="7689" max="7689" width="15" style="37" customWidth="1"/>
    <col min="7690" max="7690" width="14.5703125" style="37" customWidth="1"/>
    <col min="7691" max="7691" width="14.28515625" style="37" customWidth="1"/>
    <col min="7692" max="7937" width="9.140625" style="37"/>
    <col min="7938" max="7938" width="16.28515625" style="37" customWidth="1"/>
    <col min="7939" max="7939" width="15.28515625" style="37" customWidth="1"/>
    <col min="7940" max="7940" width="14.140625" style="37" customWidth="1"/>
    <col min="7941" max="7941" width="14.28515625" style="37" customWidth="1"/>
    <col min="7942" max="7942" width="11.7109375" style="37" customWidth="1"/>
    <col min="7943" max="7943" width="15.28515625" style="37" customWidth="1"/>
    <col min="7944" max="7944" width="14.5703125" style="37" customWidth="1"/>
    <col min="7945" max="7945" width="15" style="37" customWidth="1"/>
    <col min="7946" max="7946" width="14.5703125" style="37" customWidth="1"/>
    <col min="7947" max="7947" width="14.28515625" style="37" customWidth="1"/>
    <col min="7948" max="8193" width="9.140625" style="37"/>
    <col min="8194" max="8194" width="16.28515625" style="37" customWidth="1"/>
    <col min="8195" max="8195" width="15.28515625" style="37" customWidth="1"/>
    <col min="8196" max="8196" width="14.140625" style="37" customWidth="1"/>
    <col min="8197" max="8197" width="14.28515625" style="37" customWidth="1"/>
    <col min="8198" max="8198" width="11.7109375" style="37" customWidth="1"/>
    <col min="8199" max="8199" width="15.28515625" style="37" customWidth="1"/>
    <col min="8200" max="8200" width="14.5703125" style="37" customWidth="1"/>
    <col min="8201" max="8201" width="15" style="37" customWidth="1"/>
    <col min="8202" max="8202" width="14.5703125" style="37" customWidth="1"/>
    <col min="8203" max="8203" width="14.28515625" style="37" customWidth="1"/>
    <col min="8204" max="8449" width="9.140625" style="37"/>
    <col min="8450" max="8450" width="16.28515625" style="37" customWidth="1"/>
    <col min="8451" max="8451" width="15.28515625" style="37" customWidth="1"/>
    <col min="8452" max="8452" width="14.140625" style="37" customWidth="1"/>
    <col min="8453" max="8453" width="14.28515625" style="37" customWidth="1"/>
    <col min="8454" max="8454" width="11.7109375" style="37" customWidth="1"/>
    <col min="8455" max="8455" width="15.28515625" style="37" customWidth="1"/>
    <col min="8456" max="8456" width="14.5703125" style="37" customWidth="1"/>
    <col min="8457" max="8457" width="15" style="37" customWidth="1"/>
    <col min="8458" max="8458" width="14.5703125" style="37" customWidth="1"/>
    <col min="8459" max="8459" width="14.28515625" style="37" customWidth="1"/>
    <col min="8460" max="8705" width="9.140625" style="37"/>
    <col min="8706" max="8706" width="16.28515625" style="37" customWidth="1"/>
    <col min="8707" max="8707" width="15.28515625" style="37" customWidth="1"/>
    <col min="8708" max="8708" width="14.140625" style="37" customWidth="1"/>
    <col min="8709" max="8709" width="14.28515625" style="37" customWidth="1"/>
    <col min="8710" max="8710" width="11.7109375" style="37" customWidth="1"/>
    <col min="8711" max="8711" width="15.28515625" style="37" customWidth="1"/>
    <col min="8712" max="8712" width="14.5703125" style="37" customWidth="1"/>
    <col min="8713" max="8713" width="15" style="37" customWidth="1"/>
    <col min="8714" max="8714" width="14.5703125" style="37" customWidth="1"/>
    <col min="8715" max="8715" width="14.28515625" style="37" customWidth="1"/>
    <col min="8716" max="8961" width="9.140625" style="37"/>
    <col min="8962" max="8962" width="16.28515625" style="37" customWidth="1"/>
    <col min="8963" max="8963" width="15.28515625" style="37" customWidth="1"/>
    <col min="8964" max="8964" width="14.140625" style="37" customWidth="1"/>
    <col min="8965" max="8965" width="14.28515625" style="37" customWidth="1"/>
    <col min="8966" max="8966" width="11.7109375" style="37" customWidth="1"/>
    <col min="8967" max="8967" width="15.28515625" style="37" customWidth="1"/>
    <col min="8968" max="8968" width="14.5703125" style="37" customWidth="1"/>
    <col min="8969" max="8969" width="15" style="37" customWidth="1"/>
    <col min="8970" max="8970" width="14.5703125" style="37" customWidth="1"/>
    <col min="8971" max="8971" width="14.28515625" style="37" customWidth="1"/>
    <col min="8972" max="9217" width="9.140625" style="37"/>
    <col min="9218" max="9218" width="16.28515625" style="37" customWidth="1"/>
    <col min="9219" max="9219" width="15.28515625" style="37" customWidth="1"/>
    <col min="9220" max="9220" width="14.140625" style="37" customWidth="1"/>
    <col min="9221" max="9221" width="14.28515625" style="37" customWidth="1"/>
    <col min="9222" max="9222" width="11.7109375" style="37" customWidth="1"/>
    <col min="9223" max="9223" width="15.28515625" style="37" customWidth="1"/>
    <col min="9224" max="9224" width="14.5703125" style="37" customWidth="1"/>
    <col min="9225" max="9225" width="15" style="37" customWidth="1"/>
    <col min="9226" max="9226" width="14.5703125" style="37" customWidth="1"/>
    <col min="9227" max="9227" width="14.28515625" style="37" customWidth="1"/>
    <col min="9228" max="9473" width="9.140625" style="37"/>
    <col min="9474" max="9474" width="16.28515625" style="37" customWidth="1"/>
    <col min="9475" max="9475" width="15.28515625" style="37" customWidth="1"/>
    <col min="9476" max="9476" width="14.140625" style="37" customWidth="1"/>
    <col min="9477" max="9477" width="14.28515625" style="37" customWidth="1"/>
    <col min="9478" max="9478" width="11.7109375" style="37" customWidth="1"/>
    <col min="9479" max="9479" width="15.28515625" style="37" customWidth="1"/>
    <col min="9480" max="9480" width="14.5703125" style="37" customWidth="1"/>
    <col min="9481" max="9481" width="15" style="37" customWidth="1"/>
    <col min="9482" max="9482" width="14.5703125" style="37" customWidth="1"/>
    <col min="9483" max="9483" width="14.28515625" style="37" customWidth="1"/>
    <col min="9484" max="9729" width="9.140625" style="37"/>
    <col min="9730" max="9730" width="16.28515625" style="37" customWidth="1"/>
    <col min="9731" max="9731" width="15.28515625" style="37" customWidth="1"/>
    <col min="9732" max="9732" width="14.140625" style="37" customWidth="1"/>
    <col min="9733" max="9733" width="14.28515625" style="37" customWidth="1"/>
    <col min="9734" max="9734" width="11.7109375" style="37" customWidth="1"/>
    <col min="9735" max="9735" width="15.28515625" style="37" customWidth="1"/>
    <col min="9736" max="9736" width="14.5703125" style="37" customWidth="1"/>
    <col min="9737" max="9737" width="15" style="37" customWidth="1"/>
    <col min="9738" max="9738" width="14.5703125" style="37" customWidth="1"/>
    <col min="9739" max="9739" width="14.28515625" style="37" customWidth="1"/>
    <col min="9740" max="9985" width="9.140625" style="37"/>
    <col min="9986" max="9986" width="16.28515625" style="37" customWidth="1"/>
    <col min="9987" max="9987" width="15.28515625" style="37" customWidth="1"/>
    <col min="9988" max="9988" width="14.140625" style="37" customWidth="1"/>
    <col min="9989" max="9989" width="14.28515625" style="37" customWidth="1"/>
    <col min="9990" max="9990" width="11.7109375" style="37" customWidth="1"/>
    <col min="9991" max="9991" width="15.28515625" style="37" customWidth="1"/>
    <col min="9992" max="9992" width="14.5703125" style="37" customWidth="1"/>
    <col min="9993" max="9993" width="15" style="37" customWidth="1"/>
    <col min="9994" max="9994" width="14.5703125" style="37" customWidth="1"/>
    <col min="9995" max="9995" width="14.28515625" style="37" customWidth="1"/>
    <col min="9996" max="10241" width="9.140625" style="37"/>
    <col min="10242" max="10242" width="16.28515625" style="37" customWidth="1"/>
    <col min="10243" max="10243" width="15.28515625" style="37" customWidth="1"/>
    <col min="10244" max="10244" width="14.140625" style="37" customWidth="1"/>
    <col min="10245" max="10245" width="14.28515625" style="37" customWidth="1"/>
    <col min="10246" max="10246" width="11.7109375" style="37" customWidth="1"/>
    <col min="10247" max="10247" width="15.28515625" style="37" customWidth="1"/>
    <col min="10248" max="10248" width="14.5703125" style="37" customWidth="1"/>
    <col min="10249" max="10249" width="15" style="37" customWidth="1"/>
    <col min="10250" max="10250" width="14.5703125" style="37" customWidth="1"/>
    <col min="10251" max="10251" width="14.28515625" style="37" customWidth="1"/>
    <col min="10252" max="10497" width="9.140625" style="37"/>
    <col min="10498" max="10498" width="16.28515625" style="37" customWidth="1"/>
    <col min="10499" max="10499" width="15.28515625" style="37" customWidth="1"/>
    <col min="10500" max="10500" width="14.140625" style="37" customWidth="1"/>
    <col min="10501" max="10501" width="14.28515625" style="37" customWidth="1"/>
    <col min="10502" max="10502" width="11.7109375" style="37" customWidth="1"/>
    <col min="10503" max="10503" width="15.28515625" style="37" customWidth="1"/>
    <col min="10504" max="10504" width="14.5703125" style="37" customWidth="1"/>
    <col min="10505" max="10505" width="15" style="37" customWidth="1"/>
    <col min="10506" max="10506" width="14.5703125" style="37" customWidth="1"/>
    <col min="10507" max="10507" width="14.28515625" style="37" customWidth="1"/>
    <col min="10508" max="10753" width="9.140625" style="37"/>
    <col min="10754" max="10754" width="16.28515625" style="37" customWidth="1"/>
    <col min="10755" max="10755" width="15.28515625" style="37" customWidth="1"/>
    <col min="10756" max="10756" width="14.140625" style="37" customWidth="1"/>
    <col min="10757" max="10757" width="14.28515625" style="37" customWidth="1"/>
    <col min="10758" max="10758" width="11.7109375" style="37" customWidth="1"/>
    <col min="10759" max="10759" width="15.28515625" style="37" customWidth="1"/>
    <col min="10760" max="10760" width="14.5703125" style="37" customWidth="1"/>
    <col min="10761" max="10761" width="15" style="37" customWidth="1"/>
    <col min="10762" max="10762" width="14.5703125" style="37" customWidth="1"/>
    <col min="10763" max="10763" width="14.28515625" style="37" customWidth="1"/>
    <col min="10764" max="11009" width="9.140625" style="37"/>
    <col min="11010" max="11010" width="16.28515625" style="37" customWidth="1"/>
    <col min="11011" max="11011" width="15.28515625" style="37" customWidth="1"/>
    <col min="11012" max="11012" width="14.140625" style="37" customWidth="1"/>
    <col min="11013" max="11013" width="14.28515625" style="37" customWidth="1"/>
    <col min="11014" max="11014" width="11.7109375" style="37" customWidth="1"/>
    <col min="11015" max="11015" width="15.28515625" style="37" customWidth="1"/>
    <col min="11016" max="11016" width="14.5703125" style="37" customWidth="1"/>
    <col min="11017" max="11017" width="15" style="37" customWidth="1"/>
    <col min="11018" max="11018" width="14.5703125" style="37" customWidth="1"/>
    <col min="11019" max="11019" width="14.28515625" style="37" customWidth="1"/>
    <col min="11020" max="11265" width="9.140625" style="37"/>
    <col min="11266" max="11266" width="16.28515625" style="37" customWidth="1"/>
    <col min="11267" max="11267" width="15.28515625" style="37" customWidth="1"/>
    <col min="11268" max="11268" width="14.140625" style="37" customWidth="1"/>
    <col min="11269" max="11269" width="14.28515625" style="37" customWidth="1"/>
    <col min="11270" max="11270" width="11.7109375" style="37" customWidth="1"/>
    <col min="11271" max="11271" width="15.28515625" style="37" customWidth="1"/>
    <col min="11272" max="11272" width="14.5703125" style="37" customWidth="1"/>
    <col min="11273" max="11273" width="15" style="37" customWidth="1"/>
    <col min="11274" max="11274" width="14.5703125" style="37" customWidth="1"/>
    <col min="11275" max="11275" width="14.28515625" style="37" customWidth="1"/>
    <col min="11276" max="11521" width="9.140625" style="37"/>
    <col min="11522" max="11522" width="16.28515625" style="37" customWidth="1"/>
    <col min="11523" max="11523" width="15.28515625" style="37" customWidth="1"/>
    <col min="11524" max="11524" width="14.140625" style="37" customWidth="1"/>
    <col min="11525" max="11525" width="14.28515625" style="37" customWidth="1"/>
    <col min="11526" max="11526" width="11.7109375" style="37" customWidth="1"/>
    <col min="11527" max="11527" width="15.28515625" style="37" customWidth="1"/>
    <col min="11528" max="11528" width="14.5703125" style="37" customWidth="1"/>
    <col min="11529" max="11529" width="15" style="37" customWidth="1"/>
    <col min="11530" max="11530" width="14.5703125" style="37" customWidth="1"/>
    <col min="11531" max="11531" width="14.28515625" style="37" customWidth="1"/>
    <col min="11532" max="11777" width="9.140625" style="37"/>
    <col min="11778" max="11778" width="16.28515625" style="37" customWidth="1"/>
    <col min="11779" max="11779" width="15.28515625" style="37" customWidth="1"/>
    <col min="11780" max="11780" width="14.140625" style="37" customWidth="1"/>
    <col min="11781" max="11781" width="14.28515625" style="37" customWidth="1"/>
    <col min="11782" max="11782" width="11.7109375" style="37" customWidth="1"/>
    <col min="11783" max="11783" width="15.28515625" style="37" customWidth="1"/>
    <col min="11784" max="11784" width="14.5703125" style="37" customWidth="1"/>
    <col min="11785" max="11785" width="15" style="37" customWidth="1"/>
    <col min="11786" max="11786" width="14.5703125" style="37" customWidth="1"/>
    <col min="11787" max="11787" width="14.28515625" style="37" customWidth="1"/>
    <col min="11788" max="12033" width="9.140625" style="37"/>
    <col min="12034" max="12034" width="16.28515625" style="37" customWidth="1"/>
    <col min="12035" max="12035" width="15.28515625" style="37" customWidth="1"/>
    <col min="12036" max="12036" width="14.140625" style="37" customWidth="1"/>
    <col min="12037" max="12037" width="14.28515625" style="37" customWidth="1"/>
    <col min="12038" max="12038" width="11.7109375" style="37" customWidth="1"/>
    <col min="12039" max="12039" width="15.28515625" style="37" customWidth="1"/>
    <col min="12040" max="12040" width="14.5703125" style="37" customWidth="1"/>
    <col min="12041" max="12041" width="15" style="37" customWidth="1"/>
    <col min="12042" max="12042" width="14.5703125" style="37" customWidth="1"/>
    <col min="12043" max="12043" width="14.28515625" style="37" customWidth="1"/>
    <col min="12044" max="12289" width="9.140625" style="37"/>
    <col min="12290" max="12290" width="16.28515625" style="37" customWidth="1"/>
    <col min="12291" max="12291" width="15.28515625" style="37" customWidth="1"/>
    <col min="12292" max="12292" width="14.140625" style="37" customWidth="1"/>
    <col min="12293" max="12293" width="14.28515625" style="37" customWidth="1"/>
    <col min="12294" max="12294" width="11.7109375" style="37" customWidth="1"/>
    <col min="12295" max="12295" width="15.28515625" style="37" customWidth="1"/>
    <col min="12296" max="12296" width="14.5703125" style="37" customWidth="1"/>
    <col min="12297" max="12297" width="15" style="37" customWidth="1"/>
    <col min="12298" max="12298" width="14.5703125" style="37" customWidth="1"/>
    <col min="12299" max="12299" width="14.28515625" style="37" customWidth="1"/>
    <col min="12300" max="12545" width="9.140625" style="37"/>
    <col min="12546" max="12546" width="16.28515625" style="37" customWidth="1"/>
    <col min="12547" max="12547" width="15.28515625" style="37" customWidth="1"/>
    <col min="12548" max="12548" width="14.140625" style="37" customWidth="1"/>
    <col min="12549" max="12549" width="14.28515625" style="37" customWidth="1"/>
    <col min="12550" max="12550" width="11.7109375" style="37" customWidth="1"/>
    <col min="12551" max="12551" width="15.28515625" style="37" customWidth="1"/>
    <col min="12552" max="12552" width="14.5703125" style="37" customWidth="1"/>
    <col min="12553" max="12553" width="15" style="37" customWidth="1"/>
    <col min="12554" max="12554" width="14.5703125" style="37" customWidth="1"/>
    <col min="12555" max="12555" width="14.28515625" style="37" customWidth="1"/>
    <col min="12556" max="12801" width="9.140625" style="37"/>
    <col min="12802" max="12802" width="16.28515625" style="37" customWidth="1"/>
    <col min="12803" max="12803" width="15.28515625" style="37" customWidth="1"/>
    <col min="12804" max="12804" width="14.140625" style="37" customWidth="1"/>
    <col min="12805" max="12805" width="14.28515625" style="37" customWidth="1"/>
    <col min="12806" max="12806" width="11.7109375" style="37" customWidth="1"/>
    <col min="12807" max="12807" width="15.28515625" style="37" customWidth="1"/>
    <col min="12808" max="12808" width="14.5703125" style="37" customWidth="1"/>
    <col min="12809" max="12809" width="15" style="37" customWidth="1"/>
    <col min="12810" max="12810" width="14.5703125" style="37" customWidth="1"/>
    <col min="12811" max="12811" width="14.28515625" style="37" customWidth="1"/>
    <col min="12812" max="13057" width="9.140625" style="37"/>
    <col min="13058" max="13058" width="16.28515625" style="37" customWidth="1"/>
    <col min="13059" max="13059" width="15.28515625" style="37" customWidth="1"/>
    <col min="13060" max="13060" width="14.140625" style="37" customWidth="1"/>
    <col min="13061" max="13061" width="14.28515625" style="37" customWidth="1"/>
    <col min="13062" max="13062" width="11.7109375" style="37" customWidth="1"/>
    <col min="13063" max="13063" width="15.28515625" style="37" customWidth="1"/>
    <col min="13064" max="13064" width="14.5703125" style="37" customWidth="1"/>
    <col min="13065" max="13065" width="15" style="37" customWidth="1"/>
    <col min="13066" max="13066" width="14.5703125" style="37" customWidth="1"/>
    <col min="13067" max="13067" width="14.28515625" style="37" customWidth="1"/>
    <col min="13068" max="13313" width="9.140625" style="37"/>
    <col min="13314" max="13314" width="16.28515625" style="37" customWidth="1"/>
    <col min="13315" max="13315" width="15.28515625" style="37" customWidth="1"/>
    <col min="13316" max="13316" width="14.140625" style="37" customWidth="1"/>
    <col min="13317" max="13317" width="14.28515625" style="37" customWidth="1"/>
    <col min="13318" max="13318" width="11.7109375" style="37" customWidth="1"/>
    <col min="13319" max="13319" width="15.28515625" style="37" customWidth="1"/>
    <col min="13320" max="13320" width="14.5703125" style="37" customWidth="1"/>
    <col min="13321" max="13321" width="15" style="37" customWidth="1"/>
    <col min="13322" max="13322" width="14.5703125" style="37" customWidth="1"/>
    <col min="13323" max="13323" width="14.28515625" style="37" customWidth="1"/>
    <col min="13324" max="13569" width="9.140625" style="37"/>
    <col min="13570" max="13570" width="16.28515625" style="37" customWidth="1"/>
    <col min="13571" max="13571" width="15.28515625" style="37" customWidth="1"/>
    <col min="13572" max="13572" width="14.140625" style="37" customWidth="1"/>
    <col min="13573" max="13573" width="14.28515625" style="37" customWidth="1"/>
    <col min="13574" max="13574" width="11.7109375" style="37" customWidth="1"/>
    <col min="13575" max="13575" width="15.28515625" style="37" customWidth="1"/>
    <col min="13576" max="13576" width="14.5703125" style="37" customWidth="1"/>
    <col min="13577" max="13577" width="15" style="37" customWidth="1"/>
    <col min="13578" max="13578" width="14.5703125" style="37" customWidth="1"/>
    <col min="13579" max="13579" width="14.28515625" style="37" customWidth="1"/>
    <col min="13580" max="13825" width="9.140625" style="37"/>
    <col min="13826" max="13826" width="16.28515625" style="37" customWidth="1"/>
    <col min="13827" max="13827" width="15.28515625" style="37" customWidth="1"/>
    <col min="13828" max="13828" width="14.140625" style="37" customWidth="1"/>
    <col min="13829" max="13829" width="14.28515625" style="37" customWidth="1"/>
    <col min="13830" max="13830" width="11.7109375" style="37" customWidth="1"/>
    <col min="13831" max="13831" width="15.28515625" style="37" customWidth="1"/>
    <col min="13832" max="13832" width="14.5703125" style="37" customWidth="1"/>
    <col min="13833" max="13833" width="15" style="37" customWidth="1"/>
    <col min="13834" max="13834" width="14.5703125" style="37" customWidth="1"/>
    <col min="13835" max="13835" width="14.28515625" style="37" customWidth="1"/>
    <col min="13836" max="14081" width="9.140625" style="37"/>
    <col min="14082" max="14082" width="16.28515625" style="37" customWidth="1"/>
    <col min="14083" max="14083" width="15.28515625" style="37" customWidth="1"/>
    <col min="14084" max="14084" width="14.140625" style="37" customWidth="1"/>
    <col min="14085" max="14085" width="14.28515625" style="37" customWidth="1"/>
    <col min="14086" max="14086" width="11.7109375" style="37" customWidth="1"/>
    <col min="14087" max="14087" width="15.28515625" style="37" customWidth="1"/>
    <col min="14088" max="14088" width="14.5703125" style="37" customWidth="1"/>
    <col min="14089" max="14089" width="15" style="37" customWidth="1"/>
    <col min="14090" max="14090" width="14.5703125" style="37" customWidth="1"/>
    <col min="14091" max="14091" width="14.28515625" style="37" customWidth="1"/>
    <col min="14092" max="14337" width="9.140625" style="37"/>
    <col min="14338" max="14338" width="16.28515625" style="37" customWidth="1"/>
    <col min="14339" max="14339" width="15.28515625" style="37" customWidth="1"/>
    <col min="14340" max="14340" width="14.140625" style="37" customWidth="1"/>
    <col min="14341" max="14341" width="14.28515625" style="37" customWidth="1"/>
    <col min="14342" max="14342" width="11.7109375" style="37" customWidth="1"/>
    <col min="14343" max="14343" width="15.28515625" style="37" customWidth="1"/>
    <col min="14344" max="14344" width="14.5703125" style="37" customWidth="1"/>
    <col min="14345" max="14345" width="15" style="37" customWidth="1"/>
    <col min="14346" max="14346" width="14.5703125" style="37" customWidth="1"/>
    <col min="14347" max="14347" width="14.28515625" style="37" customWidth="1"/>
    <col min="14348" max="14593" width="9.140625" style="37"/>
    <col min="14594" max="14594" width="16.28515625" style="37" customWidth="1"/>
    <col min="14595" max="14595" width="15.28515625" style="37" customWidth="1"/>
    <col min="14596" max="14596" width="14.140625" style="37" customWidth="1"/>
    <col min="14597" max="14597" width="14.28515625" style="37" customWidth="1"/>
    <col min="14598" max="14598" width="11.7109375" style="37" customWidth="1"/>
    <col min="14599" max="14599" width="15.28515625" style="37" customWidth="1"/>
    <col min="14600" max="14600" width="14.5703125" style="37" customWidth="1"/>
    <col min="14601" max="14601" width="15" style="37" customWidth="1"/>
    <col min="14602" max="14602" width="14.5703125" style="37" customWidth="1"/>
    <col min="14603" max="14603" width="14.28515625" style="37" customWidth="1"/>
    <col min="14604" max="14849" width="9.140625" style="37"/>
    <col min="14850" max="14850" width="16.28515625" style="37" customWidth="1"/>
    <col min="14851" max="14851" width="15.28515625" style="37" customWidth="1"/>
    <col min="14852" max="14852" width="14.140625" style="37" customWidth="1"/>
    <col min="14853" max="14853" width="14.28515625" style="37" customWidth="1"/>
    <col min="14854" max="14854" width="11.7109375" style="37" customWidth="1"/>
    <col min="14855" max="14855" width="15.28515625" style="37" customWidth="1"/>
    <col min="14856" max="14856" width="14.5703125" style="37" customWidth="1"/>
    <col min="14857" max="14857" width="15" style="37" customWidth="1"/>
    <col min="14858" max="14858" width="14.5703125" style="37" customWidth="1"/>
    <col min="14859" max="14859" width="14.28515625" style="37" customWidth="1"/>
    <col min="14860" max="15105" width="9.140625" style="37"/>
    <col min="15106" max="15106" width="16.28515625" style="37" customWidth="1"/>
    <col min="15107" max="15107" width="15.28515625" style="37" customWidth="1"/>
    <col min="15108" max="15108" width="14.140625" style="37" customWidth="1"/>
    <col min="15109" max="15109" width="14.28515625" style="37" customWidth="1"/>
    <col min="15110" max="15110" width="11.7109375" style="37" customWidth="1"/>
    <col min="15111" max="15111" width="15.28515625" style="37" customWidth="1"/>
    <col min="15112" max="15112" width="14.5703125" style="37" customWidth="1"/>
    <col min="15113" max="15113" width="15" style="37" customWidth="1"/>
    <col min="15114" max="15114" width="14.5703125" style="37" customWidth="1"/>
    <col min="15115" max="15115" width="14.28515625" style="37" customWidth="1"/>
    <col min="15116" max="15361" width="9.140625" style="37"/>
    <col min="15362" max="15362" width="16.28515625" style="37" customWidth="1"/>
    <col min="15363" max="15363" width="15.28515625" style="37" customWidth="1"/>
    <col min="15364" max="15364" width="14.140625" style="37" customWidth="1"/>
    <col min="15365" max="15365" width="14.28515625" style="37" customWidth="1"/>
    <col min="15366" max="15366" width="11.7109375" style="37" customWidth="1"/>
    <col min="15367" max="15367" width="15.28515625" style="37" customWidth="1"/>
    <col min="15368" max="15368" width="14.5703125" style="37" customWidth="1"/>
    <col min="15369" max="15369" width="15" style="37" customWidth="1"/>
    <col min="15370" max="15370" width="14.5703125" style="37" customWidth="1"/>
    <col min="15371" max="15371" width="14.28515625" style="37" customWidth="1"/>
    <col min="15372" max="15617" width="9.140625" style="37"/>
    <col min="15618" max="15618" width="16.28515625" style="37" customWidth="1"/>
    <col min="15619" max="15619" width="15.28515625" style="37" customWidth="1"/>
    <col min="15620" max="15620" width="14.140625" style="37" customWidth="1"/>
    <col min="15621" max="15621" width="14.28515625" style="37" customWidth="1"/>
    <col min="15622" max="15622" width="11.7109375" style="37" customWidth="1"/>
    <col min="15623" max="15623" width="15.28515625" style="37" customWidth="1"/>
    <col min="15624" max="15624" width="14.5703125" style="37" customWidth="1"/>
    <col min="15625" max="15625" width="15" style="37" customWidth="1"/>
    <col min="15626" max="15626" width="14.5703125" style="37" customWidth="1"/>
    <col min="15627" max="15627" width="14.28515625" style="37" customWidth="1"/>
    <col min="15628" max="15873" width="9.140625" style="37"/>
    <col min="15874" max="15874" width="16.28515625" style="37" customWidth="1"/>
    <col min="15875" max="15875" width="15.28515625" style="37" customWidth="1"/>
    <col min="15876" max="15876" width="14.140625" style="37" customWidth="1"/>
    <col min="15877" max="15877" width="14.28515625" style="37" customWidth="1"/>
    <col min="15878" max="15878" width="11.7109375" style="37" customWidth="1"/>
    <col min="15879" max="15879" width="15.28515625" style="37" customWidth="1"/>
    <col min="15880" max="15880" width="14.5703125" style="37" customWidth="1"/>
    <col min="15881" max="15881" width="15" style="37" customWidth="1"/>
    <col min="15882" max="15882" width="14.5703125" style="37" customWidth="1"/>
    <col min="15883" max="15883" width="14.28515625" style="37" customWidth="1"/>
    <col min="15884" max="16129" width="9.140625" style="37"/>
    <col min="16130" max="16130" width="16.28515625" style="37" customWidth="1"/>
    <col min="16131" max="16131" width="15.28515625" style="37" customWidth="1"/>
    <col min="16132" max="16132" width="14.140625" style="37" customWidth="1"/>
    <col min="16133" max="16133" width="14.28515625" style="37" customWidth="1"/>
    <col min="16134" max="16134" width="11.7109375" style="37" customWidth="1"/>
    <col min="16135" max="16135" width="15.28515625" style="37" customWidth="1"/>
    <col min="16136" max="16136" width="14.5703125" style="37" customWidth="1"/>
    <col min="16137" max="16137" width="15" style="37" customWidth="1"/>
    <col min="16138" max="16138" width="14.5703125" style="37" customWidth="1"/>
    <col min="16139" max="16139" width="14.28515625" style="37" customWidth="1"/>
    <col min="16140" max="16384" width="9.140625" style="37"/>
  </cols>
  <sheetData>
    <row r="2" spans="2:11" ht="15.75" x14ac:dyDescent="0.25">
      <c r="B2" s="2" t="s">
        <v>0</v>
      </c>
      <c r="C2" s="3"/>
      <c r="D2" s="3"/>
      <c r="E2" s="2"/>
      <c r="F2" s="3"/>
      <c r="G2" s="2"/>
      <c r="H2" s="2"/>
      <c r="I2" s="2"/>
      <c r="J2" s="2"/>
      <c r="K2" s="2"/>
    </row>
    <row r="3" spans="2:11" ht="15.75" x14ac:dyDescent="0.25">
      <c r="B3" s="1"/>
      <c r="C3" s="5"/>
      <c r="D3" s="2"/>
      <c r="E3" s="2"/>
      <c r="F3" s="2"/>
      <c r="G3" s="2" t="s">
        <v>1</v>
      </c>
      <c r="H3" s="2"/>
      <c r="I3" s="2"/>
      <c r="J3" s="2"/>
      <c r="K3" s="2"/>
    </row>
    <row r="4" spans="2:11" ht="15.75" x14ac:dyDescent="0.25">
      <c r="B4" s="6" t="s">
        <v>49</v>
      </c>
      <c r="C4" s="3"/>
      <c r="D4" s="3"/>
      <c r="E4" s="7"/>
      <c r="F4" s="3"/>
      <c r="G4" s="7"/>
      <c r="H4" s="7"/>
      <c r="I4" s="7"/>
      <c r="J4" s="7"/>
      <c r="K4" s="7"/>
    </row>
    <row r="5" spans="2:11" ht="16.5" thickBot="1" x14ac:dyDescent="0.3">
      <c r="B5" s="1"/>
      <c r="C5" s="5"/>
      <c r="D5" s="9"/>
      <c r="E5" s="9"/>
      <c r="F5" s="9"/>
      <c r="G5" s="9"/>
      <c r="H5" s="9"/>
      <c r="I5" s="9"/>
      <c r="J5" s="9"/>
      <c r="K5" s="9"/>
    </row>
    <row r="6" spans="2:11" ht="16.5" thickTop="1" x14ac:dyDescent="0.25">
      <c r="B6" s="11" t="s">
        <v>2</v>
      </c>
      <c r="C6" s="12" t="s">
        <v>3</v>
      </c>
      <c r="D6" s="62" t="s">
        <v>43</v>
      </c>
      <c r="E6" s="62" t="s">
        <v>40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63" t="s">
        <v>11</v>
      </c>
    </row>
    <row r="7" spans="2:11" ht="15.75" x14ac:dyDescent="0.25">
      <c r="B7" s="15"/>
      <c r="C7" s="16"/>
      <c r="D7" s="17"/>
      <c r="E7" s="17"/>
      <c r="F7" s="17"/>
      <c r="G7" s="17"/>
      <c r="H7" s="17"/>
      <c r="I7" s="17"/>
      <c r="J7" s="17"/>
      <c r="K7" s="64"/>
    </row>
    <row r="8" spans="2:11" ht="15.75" x14ac:dyDescent="0.25">
      <c r="B8" s="20" t="s">
        <v>13</v>
      </c>
      <c r="C8" s="16">
        <f>D8+E8+F8+G8+H8+I8+J8+K8</f>
        <v>182964648</v>
      </c>
      <c r="D8" s="17">
        <v>2289886</v>
      </c>
      <c r="E8" s="17">
        <v>21747699</v>
      </c>
      <c r="F8" s="17">
        <v>15855</v>
      </c>
      <c r="G8" s="17">
        <v>61963965</v>
      </c>
      <c r="H8" s="17">
        <v>1262456</v>
      </c>
      <c r="I8" s="17">
        <v>16628627</v>
      </c>
      <c r="J8" s="17">
        <v>63537749</v>
      </c>
      <c r="K8" s="64">
        <v>15518411</v>
      </c>
    </row>
    <row r="9" spans="2:11" ht="15.75" x14ac:dyDescent="0.25">
      <c r="B9" s="20"/>
      <c r="C9" s="16"/>
      <c r="D9" s="17"/>
      <c r="E9" s="17"/>
      <c r="F9" s="17"/>
      <c r="G9" s="17"/>
      <c r="H9" s="17"/>
      <c r="I9" s="17"/>
      <c r="J9" s="17"/>
      <c r="K9" s="64"/>
    </row>
    <row r="10" spans="2:11" ht="15.75" x14ac:dyDescent="0.25">
      <c r="B10" s="20" t="s">
        <v>14</v>
      </c>
      <c r="C10" s="16">
        <f>D10+E10+F10+G10+H10+I10+J10+K10</f>
        <v>7973795</v>
      </c>
      <c r="D10" s="17">
        <v>212745</v>
      </c>
      <c r="E10" s="17">
        <v>1094697</v>
      </c>
      <c r="F10" s="17">
        <v>16637</v>
      </c>
      <c r="G10" s="17">
        <v>2145581</v>
      </c>
      <c r="H10" s="17">
        <v>4504135</v>
      </c>
      <c r="I10" s="17">
        <v>0</v>
      </c>
      <c r="J10" s="17">
        <v>0</v>
      </c>
      <c r="K10" s="64">
        <v>0</v>
      </c>
    </row>
    <row r="11" spans="2:11" ht="15.75" x14ac:dyDescent="0.25">
      <c r="B11" s="20"/>
      <c r="C11" s="16"/>
      <c r="D11" s="17"/>
      <c r="E11" s="17"/>
      <c r="F11" s="17"/>
      <c r="G11" s="17"/>
      <c r="H11" s="17"/>
      <c r="I11" s="17"/>
      <c r="J11" s="17"/>
      <c r="K11" s="64"/>
    </row>
    <row r="12" spans="2:11" ht="15.75" x14ac:dyDescent="0.25">
      <c r="B12" s="20" t="s">
        <v>15</v>
      </c>
      <c r="C12" s="16">
        <f>D12+E12+F12+G12+H12+I12+J12+K12</f>
        <v>81508334</v>
      </c>
      <c r="D12" s="17">
        <v>1227040</v>
      </c>
      <c r="E12" s="17">
        <v>12272389</v>
      </c>
      <c r="F12" s="17">
        <v>0</v>
      </c>
      <c r="G12" s="17">
        <v>14201529</v>
      </c>
      <c r="H12" s="17">
        <v>0</v>
      </c>
      <c r="I12" s="17">
        <v>14737560</v>
      </c>
      <c r="J12" s="17">
        <v>31267475</v>
      </c>
      <c r="K12" s="64">
        <v>7802341</v>
      </c>
    </row>
    <row r="13" spans="2:11" ht="15.75" x14ac:dyDescent="0.25">
      <c r="B13" s="20" t="s">
        <v>16</v>
      </c>
      <c r="C13" s="16">
        <f>D13+E13+F13+G13+H13+I13+J13+K13</f>
        <v>19517769</v>
      </c>
      <c r="D13" s="17">
        <v>0</v>
      </c>
      <c r="E13" s="17">
        <v>0</v>
      </c>
      <c r="F13" s="17">
        <v>0</v>
      </c>
      <c r="G13" s="17">
        <v>17795509</v>
      </c>
      <c r="H13" s="17">
        <v>1722260</v>
      </c>
      <c r="I13" s="17">
        <v>0</v>
      </c>
      <c r="J13" s="17">
        <v>0</v>
      </c>
      <c r="K13" s="64">
        <v>0</v>
      </c>
    </row>
    <row r="14" spans="2:11" ht="15.75" x14ac:dyDescent="0.25">
      <c r="B14" s="20"/>
      <c r="C14" s="16"/>
      <c r="D14" s="17"/>
      <c r="E14" s="17"/>
      <c r="F14" s="17"/>
      <c r="G14" s="17"/>
      <c r="H14" s="17"/>
      <c r="I14" s="17"/>
      <c r="J14" s="17"/>
      <c r="K14" s="64"/>
    </row>
    <row r="15" spans="2:11" ht="15.75" x14ac:dyDescent="0.25">
      <c r="B15" s="20" t="s">
        <v>17</v>
      </c>
      <c r="C15" s="16">
        <f>D15+E15+F15+G15+H15+I15+J15+K15</f>
        <v>5139643</v>
      </c>
      <c r="D15" s="17">
        <v>0</v>
      </c>
      <c r="E15" s="17">
        <v>686032</v>
      </c>
      <c r="F15" s="17">
        <v>0</v>
      </c>
      <c r="G15" s="17">
        <v>1683557</v>
      </c>
      <c r="H15" s="17">
        <v>2770054</v>
      </c>
      <c r="I15" s="17">
        <v>0</v>
      </c>
      <c r="J15" s="17">
        <v>0</v>
      </c>
      <c r="K15" s="64">
        <v>0</v>
      </c>
    </row>
    <row r="16" spans="2:11" ht="15.75" x14ac:dyDescent="0.25">
      <c r="B16" s="20"/>
      <c r="C16" s="16"/>
      <c r="D16" s="17"/>
      <c r="E16" s="17"/>
      <c r="F16" s="17"/>
      <c r="G16" s="17"/>
      <c r="H16" s="17"/>
      <c r="I16" s="17"/>
      <c r="J16" s="17"/>
      <c r="K16" s="64"/>
    </row>
    <row r="17" spans="2:11" ht="15.75" x14ac:dyDescent="0.25">
      <c r="B17" s="20" t="s">
        <v>18</v>
      </c>
      <c r="C17" s="16">
        <f>D17+E17+F17+G17+H17+I17+J17+K17</f>
        <v>12883657</v>
      </c>
      <c r="D17" s="17">
        <v>104796</v>
      </c>
      <c r="E17" s="17">
        <v>1167795</v>
      </c>
      <c r="F17" s="17">
        <v>0</v>
      </c>
      <c r="G17" s="17">
        <v>5165699</v>
      </c>
      <c r="H17" s="17">
        <v>6309596</v>
      </c>
      <c r="I17" s="17">
        <v>135771</v>
      </c>
      <c r="J17" s="17">
        <v>0</v>
      </c>
      <c r="K17" s="64">
        <v>0</v>
      </c>
    </row>
    <row r="18" spans="2:11" ht="15.75" x14ac:dyDescent="0.25">
      <c r="B18" s="20"/>
      <c r="C18" s="16"/>
      <c r="D18" s="17"/>
      <c r="E18" s="17"/>
      <c r="F18" s="17"/>
      <c r="G18" s="17"/>
      <c r="H18" s="17"/>
      <c r="I18" s="17"/>
      <c r="J18" s="17"/>
      <c r="K18" s="64"/>
    </row>
    <row r="19" spans="2:11" ht="15.75" x14ac:dyDescent="0.25">
      <c r="B19" s="20" t="s">
        <v>19</v>
      </c>
      <c r="C19" s="16">
        <f>D19+E19+F19+G19+H19+I19+J19+K19</f>
        <v>27575550</v>
      </c>
      <c r="D19" s="17">
        <v>211633</v>
      </c>
      <c r="E19" s="17">
        <v>2789347</v>
      </c>
      <c r="F19" s="17">
        <v>0</v>
      </c>
      <c r="G19" s="17">
        <v>9100844</v>
      </c>
      <c r="H19" s="17">
        <v>796040</v>
      </c>
      <c r="I19" s="17">
        <v>802980</v>
      </c>
      <c r="J19" s="17">
        <v>9779421</v>
      </c>
      <c r="K19" s="64">
        <v>4095285</v>
      </c>
    </row>
    <row r="20" spans="2:11" ht="15.75" x14ac:dyDescent="0.25">
      <c r="B20" s="20"/>
      <c r="C20" s="16"/>
      <c r="D20" s="17"/>
      <c r="E20" s="17"/>
      <c r="F20" s="17"/>
      <c r="G20" s="17"/>
      <c r="H20" s="17"/>
      <c r="I20" s="17"/>
      <c r="J20" s="17"/>
      <c r="K20" s="64"/>
    </row>
    <row r="21" spans="2:11" ht="15.75" x14ac:dyDescent="0.25">
      <c r="B21" s="20" t="s">
        <v>20</v>
      </c>
      <c r="C21" s="16">
        <f>D21+E21+F21+G21+H21+I21+J21+K21</f>
        <v>21057973</v>
      </c>
      <c r="D21" s="17">
        <v>148253</v>
      </c>
      <c r="E21" s="17">
        <v>2423783</v>
      </c>
      <c r="F21" s="17">
        <v>0</v>
      </c>
      <c r="G21" s="17">
        <v>9554243</v>
      </c>
      <c r="H21" s="17">
        <v>348801</v>
      </c>
      <c r="I21" s="17">
        <v>2244511</v>
      </c>
      <c r="J21" s="17">
        <v>6338382</v>
      </c>
      <c r="K21" s="64">
        <v>0</v>
      </c>
    </row>
    <row r="22" spans="2:11" ht="15.75" x14ac:dyDescent="0.25">
      <c r="B22" s="20"/>
      <c r="C22" s="16"/>
      <c r="D22" s="17"/>
      <c r="E22" s="17"/>
      <c r="F22" s="17"/>
      <c r="G22" s="17"/>
      <c r="H22" s="17"/>
      <c r="I22" s="17"/>
      <c r="J22" s="17"/>
      <c r="K22" s="64"/>
    </row>
    <row r="23" spans="2:11" ht="15.75" x14ac:dyDescent="0.25">
      <c r="B23" s="20" t="s">
        <v>21</v>
      </c>
      <c r="C23" s="16">
        <f>D23+E23+F23+G23+H23+I23+J23+K23</f>
        <v>4059563</v>
      </c>
      <c r="D23" s="17">
        <v>34568</v>
      </c>
      <c r="E23" s="17">
        <v>593687</v>
      </c>
      <c r="F23" s="17">
        <v>0</v>
      </c>
      <c r="G23" s="17">
        <v>1937067</v>
      </c>
      <c r="H23" s="17">
        <v>1494241</v>
      </c>
      <c r="I23" s="17">
        <v>0</v>
      </c>
      <c r="J23" s="17">
        <v>0</v>
      </c>
      <c r="K23" s="64">
        <v>0</v>
      </c>
    </row>
    <row r="24" spans="2:11" ht="15.75" x14ac:dyDescent="0.25">
      <c r="B24" s="20"/>
      <c r="C24" s="16"/>
      <c r="D24" s="17"/>
      <c r="E24" s="17"/>
      <c r="F24" s="17"/>
      <c r="G24" s="17"/>
      <c r="H24" s="17"/>
      <c r="I24" s="17"/>
      <c r="J24" s="17"/>
      <c r="K24" s="64"/>
    </row>
    <row r="25" spans="2:11" ht="15.75" x14ac:dyDescent="0.25">
      <c r="B25" s="20" t="s">
        <v>22</v>
      </c>
      <c r="C25" s="16">
        <f>D25+E25+F25+G25+H25+I25+J25+K25</f>
        <v>495508</v>
      </c>
      <c r="D25" s="17">
        <v>0</v>
      </c>
      <c r="E25" s="17">
        <v>31973</v>
      </c>
      <c r="F25" s="17">
        <v>0</v>
      </c>
      <c r="G25" s="17">
        <v>120607</v>
      </c>
      <c r="H25" s="17">
        <v>342928</v>
      </c>
      <c r="I25" s="17">
        <v>0</v>
      </c>
      <c r="J25" s="17">
        <v>0</v>
      </c>
      <c r="K25" s="64">
        <v>0</v>
      </c>
    </row>
    <row r="26" spans="2:11" ht="15.75" x14ac:dyDescent="0.25">
      <c r="B26" s="20"/>
      <c r="C26" s="16"/>
      <c r="D26" s="17"/>
      <c r="E26" s="17"/>
      <c r="F26" s="17"/>
      <c r="G26" s="17"/>
      <c r="H26" s="17"/>
      <c r="I26" s="17"/>
      <c r="J26" s="17"/>
      <c r="K26" s="64"/>
    </row>
    <row r="27" spans="2:11" ht="15.75" x14ac:dyDescent="0.25">
      <c r="B27" s="65" t="s">
        <v>3</v>
      </c>
      <c r="C27" s="16">
        <f>C8+C10+C12+C13+C15+C17+C19+C21+C23+C25</f>
        <v>363176440</v>
      </c>
      <c r="D27" s="16">
        <f t="shared" ref="D27:K27" si="0">D8+D10+D12+D13+D15+D17+D19+D21+D23+D25</f>
        <v>4228921</v>
      </c>
      <c r="E27" s="16">
        <f t="shared" si="0"/>
        <v>42807402</v>
      </c>
      <c r="F27" s="16">
        <f t="shared" si="0"/>
        <v>32492</v>
      </c>
      <c r="G27" s="16">
        <f t="shared" si="0"/>
        <v>123668601</v>
      </c>
      <c r="H27" s="16">
        <f t="shared" si="0"/>
        <v>19550511</v>
      </c>
      <c r="I27" s="16">
        <f t="shared" si="0"/>
        <v>34549449</v>
      </c>
      <c r="J27" s="16">
        <f t="shared" si="0"/>
        <v>110923027</v>
      </c>
      <c r="K27" s="66">
        <f t="shared" si="0"/>
        <v>27416037</v>
      </c>
    </row>
    <row r="28" spans="2:11" ht="16.5" thickBot="1" x14ac:dyDescent="0.3">
      <c r="B28" s="25"/>
      <c r="C28" s="26"/>
      <c r="D28" s="27"/>
      <c r="E28" s="27"/>
      <c r="F28" s="27"/>
      <c r="G28" s="27"/>
      <c r="H28" s="27"/>
      <c r="I28" s="27"/>
      <c r="J28" s="27"/>
      <c r="K28" s="67"/>
    </row>
    <row r="29" spans="2:11" ht="16.5" thickTop="1" x14ac:dyDescent="0.25">
      <c r="B29" s="1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5.75" x14ac:dyDescent="0.25">
      <c r="B30" s="33" t="s">
        <v>23</v>
      </c>
      <c r="C30" s="34"/>
      <c r="D30" s="35"/>
      <c r="E30" s="35"/>
      <c r="F30" s="35"/>
      <c r="G30" s="35"/>
      <c r="H30" s="35"/>
      <c r="I30" s="35"/>
      <c r="J30" s="35"/>
      <c r="K30" s="35"/>
    </row>
    <row r="31" spans="2:11" ht="15.75" x14ac:dyDescent="0.25">
      <c r="B31" s="1"/>
      <c r="C31" s="34"/>
      <c r="D31" s="35"/>
      <c r="E31" s="35"/>
      <c r="F31" s="35"/>
      <c r="G31" s="35"/>
      <c r="H31" s="35"/>
      <c r="I31" s="35"/>
      <c r="J31" s="35"/>
      <c r="K31" s="35"/>
    </row>
    <row r="32" spans="2:11" ht="15.75" x14ac:dyDescent="0.25">
      <c r="B32" s="1"/>
      <c r="C32" s="34"/>
      <c r="D32" s="35"/>
      <c r="E32" s="35"/>
      <c r="F32" s="35"/>
      <c r="G32" s="35"/>
      <c r="H32" s="35"/>
      <c r="I32" s="35"/>
      <c r="J32" s="35"/>
      <c r="K32" s="35"/>
    </row>
    <row r="33" spans="2:11" ht="15.75" x14ac:dyDescent="0.25">
      <c r="B33" s="2" t="s">
        <v>0</v>
      </c>
      <c r="C33" s="3"/>
      <c r="D33" s="3"/>
      <c r="E33" s="7"/>
      <c r="F33" s="3"/>
      <c r="G33" s="7"/>
      <c r="H33" s="7"/>
      <c r="I33" s="7"/>
      <c r="J33" s="7"/>
      <c r="K33" s="7"/>
    </row>
    <row r="34" spans="2:11" ht="15.75" x14ac:dyDescent="0.25">
      <c r="B34" s="1"/>
      <c r="C34" s="36"/>
      <c r="E34" s="38"/>
      <c r="F34" s="38"/>
      <c r="G34" s="39" t="s">
        <v>1</v>
      </c>
      <c r="H34" s="38"/>
      <c r="I34" s="38"/>
      <c r="J34" s="38"/>
      <c r="K34" s="38"/>
    </row>
    <row r="35" spans="2:11" ht="15.75" x14ac:dyDescent="0.25">
      <c r="B35" s="6" t="s">
        <v>49</v>
      </c>
      <c r="C35" s="3"/>
      <c r="D35" s="3"/>
      <c r="E35" s="7"/>
      <c r="F35" s="3"/>
      <c r="G35" s="7"/>
      <c r="H35" s="7"/>
      <c r="I35" s="7"/>
      <c r="J35" s="7"/>
      <c r="K35" s="7"/>
    </row>
    <row r="36" spans="2:11" ht="16.5" thickBot="1" x14ac:dyDescent="0.3">
      <c r="B36" s="1"/>
      <c r="C36" s="36"/>
      <c r="D36" s="38"/>
      <c r="E36" s="38"/>
      <c r="F36" s="38"/>
      <c r="G36" s="38"/>
      <c r="H36" s="38"/>
      <c r="I36" s="38"/>
      <c r="J36" s="38"/>
      <c r="K36" s="38"/>
    </row>
    <row r="37" spans="2:11" ht="16.5" thickTop="1" x14ac:dyDescent="0.25">
      <c r="B37" s="41" t="s">
        <v>24</v>
      </c>
      <c r="C37" s="42" t="s">
        <v>3</v>
      </c>
      <c r="D37" s="62" t="s">
        <v>43</v>
      </c>
      <c r="E37" s="62" t="s">
        <v>40</v>
      </c>
      <c r="F37" s="43" t="s">
        <v>6</v>
      </c>
      <c r="G37" s="43" t="s">
        <v>7</v>
      </c>
      <c r="H37" s="43" t="s">
        <v>8</v>
      </c>
      <c r="I37" s="43" t="s">
        <v>25</v>
      </c>
      <c r="J37" s="44" t="s">
        <v>10</v>
      </c>
      <c r="K37" s="63" t="s">
        <v>11</v>
      </c>
    </row>
    <row r="38" spans="2:11" ht="15.75" x14ac:dyDescent="0.25">
      <c r="B38" s="45"/>
      <c r="C38" s="46"/>
      <c r="D38" s="47"/>
      <c r="E38" s="47"/>
      <c r="F38" s="47"/>
      <c r="G38" s="47"/>
      <c r="H38" s="47"/>
      <c r="I38" s="47"/>
      <c r="J38" s="48"/>
      <c r="K38" s="68"/>
    </row>
    <row r="39" spans="2:11" ht="15.75" x14ac:dyDescent="0.25">
      <c r="B39" s="45" t="s">
        <v>26</v>
      </c>
      <c r="C39" s="49">
        <f>SUM(D39:K39)</f>
        <v>30672640</v>
      </c>
      <c r="D39" s="50">
        <v>414661</v>
      </c>
      <c r="E39" s="50">
        <v>3323497</v>
      </c>
      <c r="F39" s="50">
        <v>3996</v>
      </c>
      <c r="G39" s="50">
        <v>8097626</v>
      </c>
      <c r="H39" s="50">
        <v>1546601</v>
      </c>
      <c r="I39" s="73">
        <v>2484951</v>
      </c>
      <c r="J39" s="73">
        <v>11200333</v>
      </c>
      <c r="K39" s="74">
        <v>3600975</v>
      </c>
    </row>
    <row r="40" spans="2:11" ht="15.75" x14ac:dyDescent="0.25">
      <c r="B40" s="45" t="s">
        <v>27</v>
      </c>
      <c r="C40" s="49">
        <f>SUM(D40:K40)</f>
        <v>28717966</v>
      </c>
      <c r="D40" s="50">
        <v>306358</v>
      </c>
      <c r="E40" s="50">
        <v>3382670</v>
      </c>
      <c r="F40" s="50"/>
      <c r="G40" s="50">
        <v>11123698</v>
      </c>
      <c r="H40" s="50">
        <v>1526326</v>
      </c>
      <c r="I40" s="73">
        <v>1830118</v>
      </c>
      <c r="J40" s="73">
        <v>8738620</v>
      </c>
      <c r="K40" s="74">
        <v>1810176</v>
      </c>
    </row>
    <row r="41" spans="2:11" ht="15.75" x14ac:dyDescent="0.25">
      <c r="B41" s="45" t="s">
        <v>28</v>
      </c>
      <c r="C41" s="49">
        <f>SUM(D41:K41)</f>
        <v>27502099</v>
      </c>
      <c r="D41" s="50">
        <v>380100</v>
      </c>
      <c r="E41" s="50">
        <v>3428763</v>
      </c>
      <c r="F41" s="50">
        <v>1298</v>
      </c>
      <c r="G41" s="50">
        <v>8352961</v>
      </c>
      <c r="H41" s="50">
        <v>1328174</v>
      </c>
      <c r="I41" s="73">
        <v>1839573</v>
      </c>
      <c r="J41" s="73">
        <v>10267510</v>
      </c>
      <c r="K41" s="74">
        <v>1903720</v>
      </c>
    </row>
    <row r="42" spans="2:11" ht="15.75" x14ac:dyDescent="0.25">
      <c r="B42" s="45"/>
      <c r="C42" s="49">
        <f t="shared" ref="C42:H42" si="1">C39+C40+C41</f>
        <v>86892705</v>
      </c>
      <c r="D42" s="50">
        <f t="shared" si="1"/>
        <v>1101119</v>
      </c>
      <c r="E42" s="50">
        <f t="shared" si="1"/>
        <v>10134930</v>
      </c>
      <c r="F42" s="50">
        <f t="shared" si="1"/>
        <v>5294</v>
      </c>
      <c r="G42" s="50">
        <f t="shared" si="1"/>
        <v>27574285</v>
      </c>
      <c r="H42" s="50">
        <f t="shared" si="1"/>
        <v>4401101</v>
      </c>
      <c r="I42" s="73">
        <f>SUM(I39:I41)</f>
        <v>6154642</v>
      </c>
      <c r="J42" s="73">
        <f>SUM(J39:J41)</f>
        <v>30206463</v>
      </c>
      <c r="K42" s="74">
        <f>K39+K40+K41</f>
        <v>7314871</v>
      </c>
    </row>
    <row r="43" spans="2:11" ht="15.75" x14ac:dyDescent="0.25">
      <c r="B43" s="45" t="s">
        <v>29</v>
      </c>
      <c r="C43" s="49">
        <f>SUM(D43:K43)</f>
        <v>25650674</v>
      </c>
      <c r="D43" s="50">
        <v>330474</v>
      </c>
      <c r="E43" s="50">
        <v>3254491</v>
      </c>
      <c r="F43" s="50">
        <v>996</v>
      </c>
      <c r="G43" s="50">
        <v>8400924</v>
      </c>
      <c r="H43" s="50">
        <v>1315399</v>
      </c>
      <c r="I43" s="73">
        <v>1378801</v>
      </c>
      <c r="J43" s="73">
        <v>8116327</v>
      </c>
      <c r="K43" s="74">
        <v>2853262</v>
      </c>
    </row>
    <row r="44" spans="2:11" ht="15.75" x14ac:dyDescent="0.25">
      <c r="B44" s="45" t="s">
        <v>30</v>
      </c>
      <c r="C44" s="49">
        <f>SUM(D44:K44)</f>
        <v>33954773</v>
      </c>
      <c r="D44" s="50">
        <v>274069</v>
      </c>
      <c r="E44" s="50">
        <v>3299231</v>
      </c>
      <c r="F44" s="50">
        <v>6986</v>
      </c>
      <c r="G44" s="50">
        <v>13289013</v>
      </c>
      <c r="H44" s="50">
        <v>1703534</v>
      </c>
      <c r="I44" s="73">
        <v>2357815</v>
      </c>
      <c r="J44" s="73">
        <v>10377195</v>
      </c>
      <c r="K44" s="74">
        <v>2646930</v>
      </c>
    </row>
    <row r="45" spans="2:11" ht="15.75" x14ac:dyDescent="0.25">
      <c r="B45" s="45" t="s">
        <v>31</v>
      </c>
      <c r="C45" s="49">
        <f>SUM(D45:K45)</f>
        <v>29050053</v>
      </c>
      <c r="D45" s="50">
        <v>404987</v>
      </c>
      <c r="E45" s="50">
        <v>3760176</v>
      </c>
      <c r="F45" s="50">
        <v>4678</v>
      </c>
      <c r="G45" s="50">
        <v>9072357</v>
      </c>
      <c r="H45" s="50">
        <v>1660263</v>
      </c>
      <c r="I45" s="73">
        <v>2299620</v>
      </c>
      <c r="J45" s="73">
        <v>10451895</v>
      </c>
      <c r="K45" s="74">
        <v>1396077</v>
      </c>
    </row>
    <row r="46" spans="2:11" ht="15.75" x14ac:dyDescent="0.25">
      <c r="B46" s="45"/>
      <c r="C46" s="49">
        <f t="shared" ref="C46:H46" si="2">C43+C44+C45</f>
        <v>88655500</v>
      </c>
      <c r="D46" s="50">
        <f t="shared" si="2"/>
        <v>1009530</v>
      </c>
      <c r="E46" s="50">
        <f t="shared" si="2"/>
        <v>10313898</v>
      </c>
      <c r="F46" s="50">
        <f t="shared" si="2"/>
        <v>12660</v>
      </c>
      <c r="G46" s="50">
        <f t="shared" si="2"/>
        <v>30762294</v>
      </c>
      <c r="H46" s="50">
        <f t="shared" si="2"/>
        <v>4679196</v>
      </c>
      <c r="I46" s="73">
        <f>SUM(I43:I45)</f>
        <v>6036236</v>
      </c>
      <c r="J46" s="73">
        <f>SUM(J43:J45)</f>
        <v>28945417</v>
      </c>
      <c r="K46" s="74">
        <f>K43+K44+K45</f>
        <v>6896269</v>
      </c>
    </row>
    <row r="47" spans="2:11" ht="15.75" x14ac:dyDescent="0.25">
      <c r="B47" s="45" t="s">
        <v>32</v>
      </c>
      <c r="C47" s="49">
        <f>SUM(D47:K47)</f>
        <v>31740487</v>
      </c>
      <c r="D47" s="50">
        <v>368221</v>
      </c>
      <c r="E47" s="50">
        <v>3644673</v>
      </c>
      <c r="F47" s="50">
        <v>3481</v>
      </c>
      <c r="G47" s="50">
        <v>12348101</v>
      </c>
      <c r="H47" s="50">
        <v>1784361</v>
      </c>
      <c r="I47" s="73">
        <v>1517216</v>
      </c>
      <c r="J47" s="73">
        <v>9633091</v>
      </c>
      <c r="K47" s="74">
        <v>2441343</v>
      </c>
    </row>
    <row r="48" spans="2:11" ht="15.75" x14ac:dyDescent="0.25">
      <c r="B48" s="45" t="s">
        <v>41</v>
      </c>
      <c r="C48" s="49">
        <f>SUM(D48:K48)</f>
        <v>34292670</v>
      </c>
      <c r="D48" s="50">
        <v>558628</v>
      </c>
      <c r="E48" s="50">
        <v>4081120</v>
      </c>
      <c r="F48" s="50">
        <v>596</v>
      </c>
      <c r="G48" s="50">
        <v>12109072</v>
      </c>
      <c r="H48" s="50">
        <v>2040961</v>
      </c>
      <c r="I48" s="73">
        <v>6667419</v>
      </c>
      <c r="J48" s="73">
        <v>7007785</v>
      </c>
      <c r="K48" s="74">
        <v>1827089</v>
      </c>
    </row>
    <row r="49" spans="2:11" ht="15.75" x14ac:dyDescent="0.25">
      <c r="B49" s="45" t="s">
        <v>34</v>
      </c>
      <c r="C49" s="49">
        <f>SUM(D49:K49)</f>
        <v>29587467</v>
      </c>
      <c r="D49" s="50">
        <v>304113</v>
      </c>
      <c r="E49" s="50">
        <v>3550087</v>
      </c>
      <c r="F49" s="50">
        <v>794</v>
      </c>
      <c r="G49" s="50">
        <v>9450482</v>
      </c>
      <c r="H49" s="50">
        <v>1492615</v>
      </c>
      <c r="I49" s="73">
        <v>5737701</v>
      </c>
      <c r="J49" s="73">
        <v>7285977</v>
      </c>
      <c r="K49" s="74">
        <v>1765698</v>
      </c>
    </row>
    <row r="50" spans="2:11" ht="15.75" x14ac:dyDescent="0.25">
      <c r="B50" s="45"/>
      <c r="C50" s="49">
        <f t="shared" ref="C50:K50" si="3">C47+C48+C49</f>
        <v>95620624</v>
      </c>
      <c r="D50" s="50">
        <f t="shared" si="3"/>
        <v>1230962</v>
      </c>
      <c r="E50" s="50">
        <f t="shared" si="3"/>
        <v>11275880</v>
      </c>
      <c r="F50" s="50">
        <f t="shared" si="3"/>
        <v>4871</v>
      </c>
      <c r="G50" s="50">
        <f t="shared" si="3"/>
        <v>33907655</v>
      </c>
      <c r="H50" s="50">
        <f t="shared" si="3"/>
        <v>5317937</v>
      </c>
      <c r="I50" s="73">
        <f>SUM(I47:I49)</f>
        <v>13922336</v>
      </c>
      <c r="J50" s="73">
        <f>SUM(J47:J49)</f>
        <v>23926853</v>
      </c>
      <c r="K50" s="74">
        <f t="shared" si="3"/>
        <v>6034130</v>
      </c>
    </row>
    <row r="51" spans="2:11" ht="15.75" x14ac:dyDescent="0.25">
      <c r="B51" s="45" t="s">
        <v>35</v>
      </c>
      <c r="C51" s="49">
        <f>SUM(D51:K51)</f>
        <v>31637234</v>
      </c>
      <c r="D51" s="50">
        <v>272612</v>
      </c>
      <c r="E51" s="50">
        <v>3316766</v>
      </c>
      <c r="F51" s="50">
        <v>2988</v>
      </c>
      <c r="G51" s="50">
        <v>10644490</v>
      </c>
      <c r="H51" s="50">
        <v>1438916</v>
      </c>
      <c r="I51" s="73">
        <v>2037184</v>
      </c>
      <c r="J51" s="73">
        <v>12095777</v>
      </c>
      <c r="K51" s="74">
        <v>1828501</v>
      </c>
    </row>
    <row r="52" spans="2:11" ht="15.75" x14ac:dyDescent="0.25">
      <c r="B52" s="45" t="s">
        <v>36</v>
      </c>
      <c r="C52" s="49">
        <f>SUM(D52:K52)</f>
        <v>26385945</v>
      </c>
      <c r="D52" s="50">
        <v>288096</v>
      </c>
      <c r="E52" s="50">
        <v>3124961</v>
      </c>
      <c r="F52" s="50">
        <v>2686</v>
      </c>
      <c r="G52" s="50">
        <v>9063119</v>
      </c>
      <c r="H52" s="50">
        <v>1422061</v>
      </c>
      <c r="I52" s="73">
        <v>1446481</v>
      </c>
      <c r="J52" s="73">
        <v>9216733</v>
      </c>
      <c r="K52" s="74">
        <v>1821808</v>
      </c>
    </row>
    <row r="53" spans="2:11" ht="15.75" x14ac:dyDescent="0.25">
      <c r="B53" s="45" t="s">
        <v>37</v>
      </c>
      <c r="C53" s="49">
        <f>SUM(D53:K53)</f>
        <v>33984432</v>
      </c>
      <c r="D53" s="50">
        <v>326602</v>
      </c>
      <c r="E53" s="50">
        <v>4640967</v>
      </c>
      <c r="F53" s="50">
        <v>3993</v>
      </c>
      <c r="G53" s="50">
        <v>11716758</v>
      </c>
      <c r="H53" s="50">
        <v>2291300</v>
      </c>
      <c r="I53" s="73">
        <v>4952570</v>
      </c>
      <c r="J53" s="73">
        <v>6531784</v>
      </c>
      <c r="K53" s="74">
        <v>3520458</v>
      </c>
    </row>
    <row r="54" spans="2:11" ht="15.75" x14ac:dyDescent="0.25">
      <c r="B54" s="45"/>
      <c r="C54" s="49">
        <f t="shared" ref="C54:K54" si="4">C51+C52+C53</f>
        <v>92007611</v>
      </c>
      <c r="D54" s="50">
        <f t="shared" si="4"/>
        <v>887310</v>
      </c>
      <c r="E54" s="50">
        <f t="shared" si="4"/>
        <v>11082694</v>
      </c>
      <c r="F54" s="50">
        <f t="shared" si="4"/>
        <v>9667</v>
      </c>
      <c r="G54" s="50">
        <f t="shared" si="4"/>
        <v>31424367</v>
      </c>
      <c r="H54" s="50">
        <f t="shared" si="4"/>
        <v>5152277</v>
      </c>
      <c r="I54" s="73">
        <f>SUM(I51:I53)</f>
        <v>8436235</v>
      </c>
      <c r="J54" s="75">
        <f>SUM(J51:J53)</f>
        <v>27844294</v>
      </c>
      <c r="K54" s="74">
        <f t="shared" si="4"/>
        <v>7170767</v>
      </c>
    </row>
    <row r="55" spans="2:11" ht="15" x14ac:dyDescent="0.25">
      <c r="B55" s="70" t="s">
        <v>38</v>
      </c>
      <c r="C55" s="49">
        <f t="shared" ref="C55:K55" si="5">C39+C40+C41+C43+C44+C45+C47+C48+C49+C51+C52+C53</f>
        <v>363176440</v>
      </c>
      <c r="D55" s="50">
        <f t="shared" si="5"/>
        <v>4228921</v>
      </c>
      <c r="E55" s="50">
        <f t="shared" si="5"/>
        <v>42807402</v>
      </c>
      <c r="F55" s="50">
        <f t="shared" si="5"/>
        <v>32492</v>
      </c>
      <c r="G55" s="50">
        <f t="shared" si="5"/>
        <v>123668601</v>
      </c>
      <c r="H55" s="50">
        <f t="shared" si="5"/>
        <v>19550511</v>
      </c>
      <c r="I55" s="50">
        <f t="shared" si="5"/>
        <v>34549449</v>
      </c>
      <c r="J55" s="51">
        <f t="shared" si="5"/>
        <v>110923027</v>
      </c>
      <c r="K55" s="69">
        <f t="shared" si="5"/>
        <v>27416037</v>
      </c>
    </row>
    <row r="56" spans="2:11" ht="16.5" thickBot="1" x14ac:dyDescent="0.3">
      <c r="B56" s="58"/>
      <c r="C56" s="26"/>
      <c r="D56" s="27"/>
      <c r="E56" s="27"/>
      <c r="F56" s="27"/>
      <c r="G56" s="27"/>
      <c r="H56" s="27"/>
      <c r="I56" s="27"/>
      <c r="J56" s="28"/>
      <c r="K56" s="67"/>
    </row>
    <row r="57" spans="2:11" ht="16.5" thickTop="1" x14ac:dyDescent="0.25">
      <c r="B57" s="1"/>
      <c r="C57" s="59"/>
      <c r="D57" s="60"/>
      <c r="E57" s="60"/>
      <c r="F57" s="60"/>
      <c r="G57" s="60"/>
      <c r="H57" s="60"/>
      <c r="I57" s="60"/>
      <c r="J57" s="60"/>
      <c r="K57" s="60"/>
    </row>
    <row r="58" spans="2:11" ht="15.75" x14ac:dyDescent="0.25">
      <c r="B58" s="33" t="s">
        <v>23</v>
      </c>
      <c r="C58" s="59"/>
      <c r="D58" s="60"/>
      <c r="E58" s="60"/>
      <c r="F58" s="60"/>
      <c r="G58" s="60"/>
      <c r="H58" s="60"/>
      <c r="I58" s="60"/>
      <c r="J58" s="60"/>
      <c r="K58" s="60"/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27</vt:i4>
      </vt:variant>
      <vt:variant>
        <vt:lpstr>Intervalos com Nome</vt:lpstr>
      </vt:variant>
      <vt:variant>
        <vt:i4>26</vt:i4>
      </vt:variant>
    </vt:vector>
  </HeadingPairs>
  <TitlesOfParts>
    <vt:vector size="53" baseType="lpstr">
      <vt:lpstr>1997</vt:lpstr>
      <vt:lpstr>1998</vt:lpstr>
      <vt:lpstr>1999</vt:lpstr>
      <vt:lpstr>2000</vt:lpstr>
      <vt:lpstr>2001</vt:lpstr>
      <vt:lpstr>2002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Folha2</vt:lpstr>
      <vt:lpstr>Folha3</vt:lpstr>
      <vt:lpstr>'1997'!Área_de_Impressão</vt:lpstr>
      <vt:lpstr>'1998'!Área_de_Impressão</vt:lpstr>
      <vt:lpstr>'1999'!Área_de_Impressão</vt:lpstr>
      <vt:lpstr>'2000'!Área_de_Impressão</vt:lpstr>
      <vt:lpstr>'2014'!Área_de_Impressão</vt:lpstr>
      <vt:lpstr>'2015'!Área_de_Impressão</vt:lpstr>
      <vt:lpstr>'2016'!Área_de_Impressão</vt:lpstr>
      <vt:lpstr>'2017'!Área_de_Impressão</vt:lpstr>
      <vt:lpstr>'2018'!Área_de_Impressão</vt:lpstr>
      <vt:lpstr>'2019'!Área_de_Impressão</vt:lpstr>
      <vt:lpstr>'2020'!Área_de_Impressão</vt:lpstr>
      <vt:lpstr>'2021'!Área_de_Impressão</vt:lpstr>
      <vt:lpstr>'2022'!Área_de_Impressão</vt:lpstr>
      <vt:lpstr>'1997'!Print_Area_MI</vt:lpstr>
      <vt:lpstr>'1998'!Print_Area_MI</vt:lpstr>
      <vt:lpstr>'1999'!Print_Area_MI</vt:lpstr>
      <vt:lpstr>'2000'!Print_Area_MI</vt:lpstr>
      <vt:lpstr>'2014'!Print_Area_MI</vt:lpstr>
      <vt:lpstr>'2015'!Print_Area_MI</vt:lpstr>
      <vt:lpstr>'2016'!Print_Area_MI</vt:lpstr>
      <vt:lpstr>'2017'!Print_Area_MI</vt:lpstr>
      <vt:lpstr>'2018'!Print_Area_MI</vt:lpstr>
      <vt:lpstr>'2019'!Print_Area_MI</vt:lpstr>
      <vt:lpstr>'2020'!Print_Area_MI</vt:lpstr>
      <vt:lpstr>'2021'!Print_Area_MI</vt:lpstr>
      <vt:lpstr>'2022'!Print_Area_MI</vt:lpstr>
    </vt:vector>
  </TitlesOfParts>
  <Company>Governo Regional dos Acores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AJF. Nunes</dc:creator>
  <cp:lastModifiedBy>Vitor AJF. Nunes</cp:lastModifiedBy>
  <dcterms:created xsi:type="dcterms:W3CDTF">2016-07-01T14:21:57Z</dcterms:created>
  <dcterms:modified xsi:type="dcterms:W3CDTF">2023-04-12T15:44:10Z</dcterms:modified>
</cp:coreProperties>
</file>