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EsteLivro"/>
  <mc:AlternateContent xmlns:mc="http://schemas.openxmlformats.org/markup-compatibility/2006">
    <mc:Choice Requires="x15">
      <x15ac:absPath xmlns:x15ac="http://schemas.microsoft.com/office/spreadsheetml/2010/11/ac" url="C:\Users\carlos.DROT0.000\Desktop\"/>
    </mc:Choice>
  </mc:AlternateContent>
  <xr:revisionPtr revIDLastSave="0" documentId="13_ncr:1_{B9CDCC20-0ED1-48FB-97A5-8AF5056D3D62}" xr6:coauthVersionLast="47" xr6:coauthVersionMax="47" xr10:uidLastSave="{00000000-0000-0000-0000-000000000000}"/>
  <workbookProtection workbookAlgorithmName="SHA-512" workbookHashValue="xbGdNPdpF3IxRxegCn/jvXjZlW6yP2fZ6wyhwF04SFZNPGPtTKzAvaaggSkroGvB/CRlkahnMZ5cjNWhchcd7g==" workbookSaltValue="QdKWpH3WCw5AWIvfVLwYvw==" workbookSpinCount="100000" lockStructure="1"/>
  <bookViews>
    <workbookView showHorizontalScroll="0" xWindow="-120" yWindow="-120" windowWidth="29040" windowHeight="15720" xr2:uid="{00000000-000D-0000-FFFF-FFFF00000000}"/>
  </bookViews>
  <sheets>
    <sheet name="Guia Receita" sheetId="15" r:id="rId1"/>
    <sheet name="Dados mestre" sheetId="17" r:id="rId2"/>
    <sheet name="Capítulos" sheetId="21" r:id="rId3"/>
    <sheet name="Itens Financeiros" sheetId="19" r:id="rId4"/>
    <sheet name="Instruções de preencimento" sheetId="22" r:id="rId5"/>
    <sheet name="Exemplo" sheetId="18" r:id="rId6"/>
    <sheet name="Folha1 (2)" sheetId="20" state="hidden" r:id="rId7"/>
    <sheet name="Extensos Euros" sheetId="14" state="hidden" r:id="rId8"/>
  </sheets>
  <definedNames>
    <definedName name="_xlnm._FilterDatabase" localSheetId="1" hidden="1">'Dados mestre'!$M$10:$O$116</definedName>
    <definedName name="_xlnm._FilterDatabase" localSheetId="6" hidden="1">'Folha1 (2)'!$A$1:$CM$287</definedName>
    <definedName name="_xlnm._FilterDatabase" localSheetId="3" hidden="1">'Itens Financeiros'!$A$1:$G$304</definedName>
    <definedName name="_xlnm.Print_Area" localSheetId="0">'Guia Receita'!$A$1:$K$50</definedName>
    <definedName name="tab">#REF!</definedName>
    <definedName name="Total" localSheetId="0">'Guia Receita'!$H$30</definedName>
    <definedName name="Total">#REF!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17" l="1"/>
  <c r="B35" i="15" s="1"/>
  <c r="K12" i="17"/>
  <c r="Q108" i="17"/>
  <c r="Q107" i="17"/>
  <c r="Q96" i="17"/>
  <c r="Q90" i="17"/>
  <c r="Q92" i="17"/>
  <c r="Q91" i="17"/>
  <c r="P224" i="20"/>
  <c r="W224" i="20"/>
  <c r="AD224" i="20"/>
  <c r="AK224" i="20"/>
  <c r="V29" i="15"/>
  <c r="V27" i="15"/>
  <c r="V25" i="15"/>
  <c r="V23" i="15"/>
  <c r="W29" i="15"/>
  <c r="W27" i="15"/>
  <c r="W25" i="15"/>
  <c r="W23" i="15"/>
  <c r="C6" i="15"/>
  <c r="D6" i="15" s="1"/>
  <c r="C7" i="15"/>
  <c r="I4" i="15" s="1"/>
  <c r="W53" i="17"/>
  <c r="W54" i="17"/>
  <c r="W12" i="17"/>
  <c r="X12" i="17"/>
  <c r="W13" i="17"/>
  <c r="X13" i="17"/>
  <c r="W14" i="17"/>
  <c r="X14" i="17"/>
  <c r="W15" i="17"/>
  <c r="X15" i="17"/>
  <c r="W16" i="17"/>
  <c r="X16" i="17"/>
  <c r="W17" i="17"/>
  <c r="X17" i="17"/>
  <c r="W18" i="17"/>
  <c r="X18" i="17"/>
  <c r="W19" i="17"/>
  <c r="X19" i="17"/>
  <c r="W20" i="17"/>
  <c r="X20" i="17"/>
  <c r="W21" i="17"/>
  <c r="X21" i="17"/>
  <c r="W22" i="17"/>
  <c r="X22" i="17"/>
  <c r="W23" i="17"/>
  <c r="X23" i="17"/>
  <c r="W24" i="17"/>
  <c r="X24" i="17"/>
  <c r="W25" i="17"/>
  <c r="X25" i="17"/>
  <c r="W26" i="17"/>
  <c r="X26" i="17"/>
  <c r="W27" i="17"/>
  <c r="X27" i="17"/>
  <c r="W28" i="17"/>
  <c r="X28" i="17"/>
  <c r="W29" i="17"/>
  <c r="X29" i="17"/>
  <c r="W30" i="17"/>
  <c r="X30" i="17"/>
  <c r="W31" i="17"/>
  <c r="X31" i="17"/>
  <c r="W32" i="17"/>
  <c r="X32" i="17"/>
  <c r="W33" i="17"/>
  <c r="X33" i="17"/>
  <c r="W34" i="17"/>
  <c r="X34" i="17"/>
  <c r="W35" i="17"/>
  <c r="X35" i="17"/>
  <c r="W36" i="17"/>
  <c r="X36" i="17"/>
  <c r="W37" i="17"/>
  <c r="X37" i="17"/>
  <c r="W38" i="17"/>
  <c r="X38" i="17"/>
  <c r="W39" i="17"/>
  <c r="X39" i="17"/>
  <c r="W40" i="17"/>
  <c r="X40" i="17"/>
  <c r="W41" i="17"/>
  <c r="X41" i="17"/>
  <c r="W42" i="17"/>
  <c r="X42" i="17"/>
  <c r="W43" i="17"/>
  <c r="X43" i="17"/>
  <c r="W44" i="17"/>
  <c r="X44" i="17"/>
  <c r="W45" i="17"/>
  <c r="X45" i="17"/>
  <c r="W46" i="17"/>
  <c r="X46" i="17"/>
  <c r="W47" i="17"/>
  <c r="X47" i="17"/>
  <c r="W48" i="17"/>
  <c r="X48" i="17"/>
  <c r="W49" i="17"/>
  <c r="X49" i="17"/>
  <c r="W50" i="17"/>
  <c r="X50" i="17"/>
  <c r="W51" i="17"/>
  <c r="X51" i="17"/>
  <c r="W52" i="17"/>
  <c r="X52" i="17"/>
  <c r="X53" i="17"/>
  <c r="Q86" i="17"/>
  <c r="Q87" i="17"/>
  <c r="Q88" i="17"/>
  <c r="Q89" i="17"/>
  <c r="Q93" i="17"/>
  <c r="Q95" i="17"/>
  <c r="Q94" i="17"/>
  <c r="Q105" i="17"/>
  <c r="Q106" i="17"/>
  <c r="Q109" i="17"/>
  <c r="Q110" i="17"/>
  <c r="Q85" i="17"/>
  <c r="Q33" i="17"/>
  <c r="Q17" i="17"/>
  <c r="L29" i="15"/>
  <c r="L27" i="15"/>
  <c r="AM3" i="20"/>
  <c r="AK3" i="20" s="1"/>
  <c r="AF3" i="20"/>
  <c r="AD3" i="20" s="1"/>
  <c r="Y3" i="20"/>
  <c r="W2" i="20" s="1"/>
  <c r="R3" i="20"/>
  <c r="P141" i="20" s="1"/>
  <c r="N22" i="15"/>
  <c r="N23" i="15"/>
  <c r="O23" i="15"/>
  <c r="O22" i="15" s="1"/>
  <c r="P23" i="15"/>
  <c r="P22" i="15" s="1"/>
  <c r="Q23" i="15"/>
  <c r="Q22" i="15" s="1"/>
  <c r="R23" i="15"/>
  <c r="R22" i="15" s="1"/>
  <c r="N24" i="15"/>
  <c r="N25" i="15"/>
  <c r="S25" i="15" s="1"/>
  <c r="O25" i="15"/>
  <c r="T25" i="15" s="1"/>
  <c r="P25" i="15"/>
  <c r="P24" i="15" s="1"/>
  <c r="Q25" i="15"/>
  <c r="Q24" i="15" s="1"/>
  <c r="R25" i="15"/>
  <c r="R24" i="15" s="1"/>
  <c r="N26" i="15"/>
  <c r="N27" i="15"/>
  <c r="S27" i="15" s="1"/>
  <c r="O27" i="15"/>
  <c r="T27" i="15" s="1"/>
  <c r="P27" i="15"/>
  <c r="P26" i="15" s="1"/>
  <c r="Q27" i="15"/>
  <c r="Q26" i="15" s="1"/>
  <c r="R27" i="15"/>
  <c r="R26" i="15" s="1"/>
  <c r="N28" i="15"/>
  <c r="N29" i="15"/>
  <c r="S29" i="15" s="1"/>
  <c r="O29" i="15"/>
  <c r="O28" i="15" s="1"/>
  <c r="P29" i="15"/>
  <c r="P28" i="15" s="1"/>
  <c r="Q29" i="15"/>
  <c r="Q28" i="15" s="1"/>
  <c r="R29" i="15"/>
  <c r="R28" i="15" s="1"/>
  <c r="O21" i="15"/>
  <c r="N21" i="15"/>
  <c r="N20" i="15"/>
  <c r="R21" i="15"/>
  <c r="R20" i="15" s="1"/>
  <c r="W21" i="15" s="1"/>
  <c r="Q21" i="15"/>
  <c r="Q20" i="15" s="1"/>
  <c r="V21" i="15" s="1"/>
  <c r="P21" i="15"/>
  <c r="P20" i="15" s="1"/>
  <c r="AQ42" i="20" l="1" a="1"/>
  <c r="AQ42" i="20" s="1"/>
  <c r="AQ35" i="20" a="1"/>
  <c r="AQ35" i="20" s="1"/>
  <c r="AQ10" i="20" a="1"/>
  <c r="AQ10" i="20" s="1"/>
  <c r="AQ29" i="20" a="1"/>
  <c r="AQ29" i="20" s="1"/>
  <c r="AQ16" i="20" a="1"/>
  <c r="AQ16" i="20" s="1"/>
  <c r="C26" i="15"/>
  <c r="C28" i="15"/>
  <c r="W165" i="20"/>
  <c r="W37" i="20"/>
  <c r="P13" i="20"/>
  <c r="P205" i="20"/>
  <c r="P186" i="20"/>
  <c r="P122" i="20"/>
  <c r="P35" i="20"/>
  <c r="W33" i="20"/>
  <c r="W15" i="20"/>
  <c r="W215" i="20"/>
  <c r="W205" i="20"/>
  <c r="W166" i="20"/>
  <c r="W153" i="20"/>
  <c r="W115" i="20"/>
  <c r="W113" i="20"/>
  <c r="W217" i="20"/>
  <c r="W101" i="20"/>
  <c r="P99" i="20"/>
  <c r="P77" i="20"/>
  <c r="P58" i="20"/>
  <c r="P163" i="20"/>
  <c r="P181" i="20"/>
  <c r="P117" i="20"/>
  <c r="P11" i="20"/>
  <c r="P221" i="20"/>
  <c r="P202" i="20"/>
  <c r="P179" i="20"/>
  <c r="P157" i="20"/>
  <c r="P138" i="20"/>
  <c r="P115" i="20"/>
  <c r="P93" i="20"/>
  <c r="P74" i="20"/>
  <c r="P51" i="20"/>
  <c r="P29" i="20"/>
  <c r="P3" i="20"/>
  <c r="P139" i="20"/>
  <c r="P53" i="20"/>
  <c r="P219" i="20"/>
  <c r="P197" i="20"/>
  <c r="P178" i="20"/>
  <c r="P155" i="20"/>
  <c r="P133" i="20"/>
  <c r="P114" i="20"/>
  <c r="P91" i="20"/>
  <c r="P69" i="20"/>
  <c r="P50" i="20"/>
  <c r="P27" i="20"/>
  <c r="P162" i="20"/>
  <c r="P75" i="20"/>
  <c r="P218" i="20"/>
  <c r="P195" i="20"/>
  <c r="P173" i="20"/>
  <c r="P154" i="20"/>
  <c r="P131" i="20"/>
  <c r="P109" i="20"/>
  <c r="P90" i="20"/>
  <c r="P67" i="20"/>
  <c r="P45" i="20"/>
  <c r="P26" i="20"/>
  <c r="P34" i="20"/>
  <c r="P213" i="20"/>
  <c r="P194" i="20"/>
  <c r="P171" i="20"/>
  <c r="P149" i="20"/>
  <c r="P130" i="20"/>
  <c r="P107" i="20"/>
  <c r="P85" i="20"/>
  <c r="P66" i="20"/>
  <c r="P43" i="20"/>
  <c r="P21" i="20"/>
  <c r="P203" i="20"/>
  <c r="P98" i="20"/>
  <c r="P211" i="20"/>
  <c r="P189" i="20"/>
  <c r="P170" i="20"/>
  <c r="P147" i="20"/>
  <c r="P125" i="20"/>
  <c r="P106" i="20"/>
  <c r="P83" i="20"/>
  <c r="P61" i="20"/>
  <c r="P42" i="20"/>
  <c r="P19" i="20"/>
  <c r="P210" i="20"/>
  <c r="P187" i="20"/>
  <c r="P165" i="20"/>
  <c r="P146" i="20"/>
  <c r="P123" i="20"/>
  <c r="P101" i="20"/>
  <c r="P82" i="20"/>
  <c r="P59" i="20"/>
  <c r="P37" i="20"/>
  <c r="P18" i="20"/>
  <c r="AQ3" i="20" a="1"/>
  <c r="AQ3" i="20" s="1"/>
  <c r="AQ2" i="20" a="1"/>
  <c r="AQ2" i="20" s="1"/>
  <c r="AQ41" i="20" a="1"/>
  <c r="AQ41" i="20" s="1"/>
  <c r="AQ28" i="20" a="1"/>
  <c r="AQ28" i="20" s="1"/>
  <c r="AQ22" i="20" a="1"/>
  <c r="AQ22" i="20" s="1"/>
  <c r="AQ9" i="20" a="1"/>
  <c r="AQ9" i="20" s="1"/>
  <c r="AQ40" i="20" a="1"/>
  <c r="AQ40" i="20" s="1"/>
  <c r="AQ34" i="20" a="1"/>
  <c r="AQ34" i="20" s="1"/>
  <c r="AQ27" i="20" a="1"/>
  <c r="AQ27" i="20" s="1"/>
  <c r="AQ21" i="20" a="1"/>
  <c r="AQ21" i="20" s="1"/>
  <c r="AQ8" i="20" a="1"/>
  <c r="AQ8" i="20" s="1"/>
  <c r="AQ46" i="20" a="1"/>
  <c r="AQ46" i="20" s="1"/>
  <c r="AQ39" i="20" a="1"/>
  <c r="AQ39" i="20" s="1"/>
  <c r="AQ33" i="20" a="1"/>
  <c r="AQ33" i="20" s="1"/>
  <c r="AQ20" i="20" a="1"/>
  <c r="AQ20" i="20" s="1"/>
  <c r="AQ14" i="20" a="1"/>
  <c r="AQ14" i="20" s="1"/>
  <c r="AQ7" i="20" a="1"/>
  <c r="AQ7" i="20" s="1"/>
  <c r="AQ45" i="20" a="1"/>
  <c r="AQ45" i="20" s="1"/>
  <c r="AQ32" i="20" a="1"/>
  <c r="AQ32" i="20" s="1"/>
  <c r="AQ26" i="20" a="1"/>
  <c r="AQ26" i="20" s="1"/>
  <c r="AQ19" i="20" a="1"/>
  <c r="AQ19" i="20" s="1"/>
  <c r="AQ13" i="20" a="1"/>
  <c r="AQ13" i="20" s="1"/>
  <c r="AQ15" i="20" a="1"/>
  <c r="AQ15" i="20" s="1"/>
  <c r="AQ44" i="20" a="1"/>
  <c r="AQ44" i="20" s="1"/>
  <c r="AQ38" i="20" a="1"/>
  <c r="AQ38" i="20" s="1"/>
  <c r="AQ31" i="20" a="1"/>
  <c r="AQ31" i="20" s="1"/>
  <c r="AQ25" i="20" a="1"/>
  <c r="AQ25" i="20" s="1"/>
  <c r="AQ12" i="20" a="1"/>
  <c r="AQ12" i="20" s="1"/>
  <c r="AQ6" i="20" a="1"/>
  <c r="AQ6" i="20" s="1"/>
  <c r="AQ43" i="20" a="1"/>
  <c r="AQ43" i="20" s="1"/>
  <c r="AQ37" i="20" a="1"/>
  <c r="AQ37" i="20" s="1"/>
  <c r="AQ24" i="20" a="1"/>
  <c r="AQ24" i="20" s="1"/>
  <c r="AQ18" i="20" a="1"/>
  <c r="AQ18" i="20" s="1"/>
  <c r="AQ11" i="20" a="1"/>
  <c r="AQ11" i="20" s="1"/>
  <c r="AQ5" i="20" a="1"/>
  <c r="AQ5" i="20" s="1"/>
  <c r="AQ36" i="20" a="1"/>
  <c r="AQ36" i="20" s="1"/>
  <c r="AQ30" i="20" a="1"/>
  <c r="AQ30" i="20" s="1"/>
  <c r="AQ23" i="20" a="1"/>
  <c r="AQ23" i="20" s="1"/>
  <c r="AQ17" i="20" a="1"/>
  <c r="AQ17" i="20" s="1"/>
  <c r="AQ4" i="20" a="1"/>
  <c r="AQ4" i="20" s="1"/>
  <c r="AD98" i="20"/>
  <c r="AD90" i="20"/>
  <c r="W203" i="20"/>
  <c r="W151" i="20"/>
  <c r="W97" i="20"/>
  <c r="W13" i="20"/>
  <c r="W191" i="20"/>
  <c r="W141" i="20"/>
  <c r="W79" i="20"/>
  <c r="W190" i="20"/>
  <c r="W139" i="20"/>
  <c r="W77" i="20"/>
  <c r="W179" i="20"/>
  <c r="W127" i="20"/>
  <c r="W57" i="20"/>
  <c r="W177" i="20"/>
  <c r="W126" i="20"/>
  <c r="W55" i="20"/>
  <c r="P5" i="20"/>
  <c r="P220" i="20"/>
  <c r="P212" i="20"/>
  <c r="P204" i="20"/>
  <c r="P196" i="20"/>
  <c r="P188" i="20"/>
  <c r="P180" i="20"/>
  <c r="P172" i="20"/>
  <c r="P164" i="20"/>
  <c r="P156" i="20"/>
  <c r="P148" i="20"/>
  <c r="P140" i="20"/>
  <c r="P132" i="20"/>
  <c r="P124" i="20"/>
  <c r="P116" i="20"/>
  <c r="P108" i="20"/>
  <c r="P100" i="20"/>
  <c r="P92" i="20"/>
  <c r="P84" i="20"/>
  <c r="P76" i="20"/>
  <c r="P68" i="20"/>
  <c r="P60" i="20"/>
  <c r="P52" i="20"/>
  <c r="P44" i="20"/>
  <c r="P36" i="20"/>
  <c r="P28" i="20"/>
  <c r="P20" i="20"/>
  <c r="P12" i="20"/>
  <c r="P4" i="20"/>
  <c r="P217" i="20"/>
  <c r="P209" i="20"/>
  <c r="P201" i="20"/>
  <c r="P193" i="20"/>
  <c r="P185" i="20"/>
  <c r="P177" i="20"/>
  <c r="P169" i="20"/>
  <c r="P161" i="20"/>
  <c r="P153" i="20"/>
  <c r="P145" i="20"/>
  <c r="P137" i="20"/>
  <c r="P129" i="20"/>
  <c r="P121" i="20"/>
  <c r="P113" i="20"/>
  <c r="P105" i="20"/>
  <c r="P97" i="20"/>
  <c r="P89" i="20"/>
  <c r="P81" i="20"/>
  <c r="P73" i="20"/>
  <c r="P65" i="20"/>
  <c r="P57" i="20"/>
  <c r="P49" i="20"/>
  <c r="P41" i="20"/>
  <c r="P33" i="20"/>
  <c r="P25" i="20"/>
  <c r="P17" i="20"/>
  <c r="P9" i="20"/>
  <c r="P2" i="20"/>
  <c r="P216" i="20"/>
  <c r="P208" i="20"/>
  <c r="P200" i="20"/>
  <c r="P192" i="20"/>
  <c r="P184" i="20"/>
  <c r="P176" i="20"/>
  <c r="P168" i="20"/>
  <c r="P160" i="20"/>
  <c r="P152" i="20"/>
  <c r="P144" i="20"/>
  <c r="P136" i="20"/>
  <c r="P128" i="20"/>
  <c r="P120" i="20"/>
  <c r="P112" i="20"/>
  <c r="P104" i="20"/>
  <c r="P96" i="20"/>
  <c r="P88" i="20"/>
  <c r="P80" i="20"/>
  <c r="P72" i="20"/>
  <c r="P64" i="20"/>
  <c r="P56" i="20"/>
  <c r="P48" i="20"/>
  <c r="P40" i="20"/>
  <c r="P32" i="20"/>
  <c r="P24" i="20"/>
  <c r="P16" i="20"/>
  <c r="P8" i="20"/>
  <c r="P223" i="20"/>
  <c r="P215" i="20"/>
  <c r="P207" i="20"/>
  <c r="P199" i="20"/>
  <c r="P191" i="20"/>
  <c r="P183" i="20"/>
  <c r="P175" i="20"/>
  <c r="P167" i="20"/>
  <c r="P159" i="20"/>
  <c r="P151" i="20"/>
  <c r="P143" i="20"/>
  <c r="P135" i="20"/>
  <c r="P127" i="20"/>
  <c r="P119" i="20"/>
  <c r="P111" i="20"/>
  <c r="P103" i="20"/>
  <c r="P95" i="20"/>
  <c r="P87" i="20"/>
  <c r="P79" i="20"/>
  <c r="P71" i="20"/>
  <c r="P63" i="20"/>
  <c r="P55" i="20"/>
  <c r="P47" i="20"/>
  <c r="P39" i="20"/>
  <c r="P31" i="20"/>
  <c r="P23" i="20"/>
  <c r="P15" i="20"/>
  <c r="P7" i="20"/>
  <c r="P10" i="20"/>
  <c r="P222" i="20"/>
  <c r="P214" i="20"/>
  <c r="P206" i="20"/>
  <c r="P198" i="20"/>
  <c r="P190" i="20"/>
  <c r="P182" i="20"/>
  <c r="P174" i="20"/>
  <c r="P166" i="20"/>
  <c r="P158" i="20"/>
  <c r="P150" i="20"/>
  <c r="P142" i="20"/>
  <c r="P134" i="20"/>
  <c r="P126" i="20"/>
  <c r="P118" i="20"/>
  <c r="P110" i="20"/>
  <c r="P102" i="20"/>
  <c r="P94" i="20"/>
  <c r="P86" i="20"/>
  <c r="P78" i="20"/>
  <c r="P70" i="20"/>
  <c r="P62" i="20"/>
  <c r="P54" i="20"/>
  <c r="P46" i="20"/>
  <c r="P38" i="20"/>
  <c r="P30" i="20"/>
  <c r="P22" i="20"/>
  <c r="P14" i="20"/>
  <c r="P6" i="20"/>
  <c r="W199" i="20"/>
  <c r="W174" i="20"/>
  <c r="W149" i="20"/>
  <c r="W123" i="20"/>
  <c r="W93" i="20"/>
  <c r="W49" i="20"/>
  <c r="W7" i="20"/>
  <c r="W223" i="20"/>
  <c r="W211" i="20"/>
  <c r="W198" i="20"/>
  <c r="W185" i="20"/>
  <c r="W173" i="20"/>
  <c r="W159" i="20"/>
  <c r="W147" i="20"/>
  <c r="W134" i="20"/>
  <c r="W121" i="20"/>
  <c r="W109" i="20"/>
  <c r="W89" i="20"/>
  <c r="W69" i="20"/>
  <c r="W47" i="20"/>
  <c r="W25" i="20"/>
  <c r="W5" i="20"/>
  <c r="W213" i="20"/>
  <c r="W187" i="20"/>
  <c r="W161" i="20"/>
  <c r="W135" i="20"/>
  <c r="W110" i="20"/>
  <c r="W71" i="20"/>
  <c r="W29" i="20"/>
  <c r="W222" i="20"/>
  <c r="W209" i="20"/>
  <c r="W197" i="20"/>
  <c r="W183" i="20"/>
  <c r="W171" i="20"/>
  <c r="W158" i="20"/>
  <c r="W145" i="20"/>
  <c r="W133" i="20"/>
  <c r="W119" i="20"/>
  <c r="W107" i="20"/>
  <c r="W87" i="20"/>
  <c r="W65" i="20"/>
  <c r="W45" i="20"/>
  <c r="W23" i="20"/>
  <c r="W221" i="20"/>
  <c r="W207" i="20"/>
  <c r="W195" i="20"/>
  <c r="W182" i="20"/>
  <c r="W169" i="20"/>
  <c r="W157" i="20"/>
  <c r="W143" i="20"/>
  <c r="W131" i="20"/>
  <c r="W118" i="20"/>
  <c r="W105" i="20"/>
  <c r="W85" i="20"/>
  <c r="W63" i="20"/>
  <c r="W41" i="20"/>
  <c r="W21" i="20"/>
  <c r="W219" i="20"/>
  <c r="W206" i="20"/>
  <c r="W193" i="20"/>
  <c r="W181" i="20"/>
  <c r="W167" i="20"/>
  <c r="W155" i="20"/>
  <c r="W142" i="20"/>
  <c r="W129" i="20"/>
  <c r="W117" i="20"/>
  <c r="W103" i="20"/>
  <c r="W81" i="20"/>
  <c r="W61" i="20"/>
  <c r="W39" i="20"/>
  <c r="W17" i="20"/>
  <c r="W214" i="20"/>
  <c r="W201" i="20"/>
  <c r="W189" i="20"/>
  <c r="W175" i="20"/>
  <c r="W163" i="20"/>
  <c r="W150" i="20"/>
  <c r="W137" i="20"/>
  <c r="W125" i="20"/>
  <c r="W111" i="20"/>
  <c r="W95" i="20"/>
  <c r="W73" i="20"/>
  <c r="W53" i="20"/>
  <c r="W31" i="20"/>
  <c r="W9" i="20"/>
  <c r="AD206" i="20"/>
  <c r="AD202" i="20"/>
  <c r="AD162" i="20"/>
  <c r="AD154" i="20"/>
  <c r="AD198" i="20"/>
  <c r="AD146" i="20"/>
  <c r="AD82" i="20"/>
  <c r="AD194" i="20"/>
  <c r="AD138" i="20"/>
  <c r="AD74" i="20"/>
  <c r="AD186" i="20"/>
  <c r="AD218" i="20"/>
  <c r="AD182" i="20"/>
  <c r="AD122" i="20"/>
  <c r="AD58" i="20"/>
  <c r="AD222" i="20"/>
  <c r="AD66" i="20"/>
  <c r="AD214" i="20"/>
  <c r="AD178" i="20"/>
  <c r="AD114" i="20"/>
  <c r="AD50" i="20"/>
  <c r="AD130" i="20"/>
  <c r="AD210" i="20"/>
  <c r="AD170" i="20"/>
  <c r="AD106" i="20"/>
  <c r="AD42" i="20"/>
  <c r="W220" i="20"/>
  <c r="W212" i="20"/>
  <c r="W204" i="20"/>
  <c r="W196" i="20"/>
  <c r="W188" i="20"/>
  <c r="W180" i="20"/>
  <c r="W172" i="20"/>
  <c r="W164" i="20"/>
  <c r="W156" i="20"/>
  <c r="W148" i="20"/>
  <c r="W140" i="20"/>
  <c r="W132" i="20"/>
  <c r="W124" i="20"/>
  <c r="W116" i="20"/>
  <c r="W108" i="20"/>
  <c r="W100" i="20"/>
  <c r="W92" i="20"/>
  <c r="W84" i="20"/>
  <c r="W76" i="20"/>
  <c r="W68" i="20"/>
  <c r="W60" i="20"/>
  <c r="W52" i="20"/>
  <c r="W44" i="20"/>
  <c r="W36" i="20"/>
  <c r="W28" i="20"/>
  <c r="W20" i="20"/>
  <c r="W12" i="20"/>
  <c r="W4" i="20"/>
  <c r="W99" i="20"/>
  <c r="W91" i="20"/>
  <c r="W83" i="20"/>
  <c r="W75" i="20"/>
  <c r="W67" i="20"/>
  <c r="W59" i="20"/>
  <c r="W51" i="20"/>
  <c r="W43" i="20"/>
  <c r="W35" i="20"/>
  <c r="W27" i="20"/>
  <c r="W19" i="20"/>
  <c r="W11" i="20"/>
  <c r="W3" i="20"/>
  <c r="W218" i="20"/>
  <c r="W210" i="20"/>
  <c r="W202" i="20"/>
  <c r="W194" i="20"/>
  <c r="W186" i="20"/>
  <c r="W178" i="20"/>
  <c r="W170" i="20"/>
  <c r="W162" i="20"/>
  <c r="W154" i="20"/>
  <c r="W146" i="20"/>
  <c r="W138" i="20"/>
  <c r="W130" i="20"/>
  <c r="W122" i="20"/>
  <c r="W114" i="20"/>
  <c r="W106" i="20"/>
  <c r="W98" i="20"/>
  <c r="W90" i="20"/>
  <c r="W82" i="20"/>
  <c r="W74" i="20"/>
  <c r="W66" i="20"/>
  <c r="W58" i="20"/>
  <c r="W50" i="20"/>
  <c r="W42" i="20"/>
  <c r="W34" i="20"/>
  <c r="W26" i="20"/>
  <c r="W18" i="20"/>
  <c r="W10" i="20"/>
  <c r="W216" i="20"/>
  <c r="W208" i="20"/>
  <c r="W200" i="20"/>
  <c r="W192" i="20"/>
  <c r="W184" i="20"/>
  <c r="W176" i="20"/>
  <c r="W168" i="20"/>
  <c r="W160" i="20"/>
  <c r="W152" i="20"/>
  <c r="W144" i="20"/>
  <c r="W136" i="20"/>
  <c r="W128" i="20"/>
  <c r="W120" i="20"/>
  <c r="W112" i="20"/>
  <c r="W104" i="20"/>
  <c r="W96" i="20"/>
  <c r="W88" i="20"/>
  <c r="W80" i="20"/>
  <c r="W72" i="20"/>
  <c r="W64" i="20"/>
  <c r="W56" i="20"/>
  <c r="W48" i="20"/>
  <c r="W40" i="20"/>
  <c r="W32" i="20"/>
  <c r="W24" i="20"/>
  <c r="W16" i="20"/>
  <c r="W8" i="20"/>
  <c r="W102" i="20"/>
  <c r="W94" i="20"/>
  <c r="W86" i="20"/>
  <c r="W78" i="20"/>
  <c r="W70" i="20"/>
  <c r="W62" i="20"/>
  <c r="W54" i="20"/>
  <c r="W46" i="20"/>
  <c r="W38" i="20"/>
  <c r="W30" i="20"/>
  <c r="W22" i="20"/>
  <c r="W14" i="20"/>
  <c r="W6" i="20"/>
  <c r="AK210" i="20"/>
  <c r="AK170" i="20"/>
  <c r="AK130" i="20"/>
  <c r="AK90" i="20"/>
  <c r="AK34" i="20"/>
  <c r="AK208" i="20"/>
  <c r="AK218" i="20"/>
  <c r="AK186" i="20"/>
  <c r="AK154" i="20"/>
  <c r="AK106" i="20"/>
  <c r="AK66" i="20"/>
  <c r="AK18" i="20"/>
  <c r="AK201" i="20"/>
  <c r="AK169" i="20"/>
  <c r="AK137" i="20"/>
  <c r="AK113" i="20"/>
  <c r="AK73" i="20"/>
  <c r="AK49" i="20"/>
  <c r="AK25" i="20"/>
  <c r="AK216" i="20"/>
  <c r="AK176" i="20"/>
  <c r="AK152" i="20"/>
  <c r="AK120" i="20"/>
  <c r="AK88" i="20"/>
  <c r="AK56" i="20"/>
  <c r="AK16" i="20"/>
  <c r="AK207" i="20"/>
  <c r="AK175" i="20"/>
  <c r="AK151" i="20"/>
  <c r="AK119" i="20"/>
  <c r="AK111" i="20"/>
  <c r="AK103" i="20"/>
  <c r="AK95" i="20"/>
  <c r="AK87" i="20"/>
  <c r="AK55" i="20"/>
  <c r="AK47" i="20"/>
  <c r="AK39" i="20"/>
  <c r="AK31" i="20"/>
  <c r="AK23" i="20"/>
  <c r="AK15" i="20"/>
  <c r="AK7" i="20"/>
  <c r="AK222" i="20"/>
  <c r="AK214" i="20"/>
  <c r="AK206" i="20"/>
  <c r="AK198" i="20"/>
  <c r="AK190" i="20"/>
  <c r="AK182" i="20"/>
  <c r="AK174" i="20"/>
  <c r="AK166" i="20"/>
  <c r="AK158" i="20"/>
  <c r="AK150" i="20"/>
  <c r="AK142" i="20"/>
  <c r="AK134" i="20"/>
  <c r="AK126" i="20"/>
  <c r="AK118" i="20"/>
  <c r="AK110" i="20"/>
  <c r="AK102" i="20"/>
  <c r="AK94" i="20"/>
  <c r="AK86" i="20"/>
  <c r="AK78" i="20"/>
  <c r="AK70" i="20"/>
  <c r="AK62" i="20"/>
  <c r="AK54" i="20"/>
  <c r="AK46" i="20"/>
  <c r="AK38" i="20"/>
  <c r="AK30" i="20"/>
  <c r="AK22" i="20"/>
  <c r="AK14" i="20"/>
  <c r="AK6" i="20"/>
  <c r="AK178" i="20"/>
  <c r="AK138" i="20"/>
  <c r="AK98" i="20"/>
  <c r="AK58" i="20"/>
  <c r="AK10" i="20"/>
  <c r="AK193" i="20"/>
  <c r="AK161" i="20"/>
  <c r="AK129" i="20"/>
  <c r="AK97" i="20"/>
  <c r="AK57" i="20"/>
  <c r="AK9" i="20"/>
  <c r="AK192" i="20"/>
  <c r="AK168" i="20"/>
  <c r="AK128" i="20"/>
  <c r="AK96" i="20"/>
  <c r="AK64" i="20"/>
  <c r="AK8" i="20"/>
  <c r="AK199" i="20"/>
  <c r="AK167" i="20"/>
  <c r="AK135" i="20"/>
  <c r="AK71" i="20"/>
  <c r="AK213" i="20"/>
  <c r="AK205" i="20"/>
  <c r="AK197" i="20"/>
  <c r="AK189" i="20"/>
  <c r="AK181" i="20"/>
  <c r="AK173" i="20"/>
  <c r="AK165" i="20"/>
  <c r="AK157" i="20"/>
  <c r="AK149" i="20"/>
  <c r="AK141" i="20"/>
  <c r="AK133" i="20"/>
  <c r="AK125" i="20"/>
  <c r="AK117" i="20"/>
  <c r="AK109" i="20"/>
  <c r="AK101" i="20"/>
  <c r="AK93" i="20"/>
  <c r="AK85" i="20"/>
  <c r="AK77" i="20"/>
  <c r="AK69" i="20"/>
  <c r="AK61" i="20"/>
  <c r="AK53" i="20"/>
  <c r="AK45" i="20"/>
  <c r="AK37" i="20"/>
  <c r="AK29" i="20"/>
  <c r="AK21" i="20"/>
  <c r="AK13" i="20"/>
  <c r="AK5" i="20"/>
  <c r="AK202" i="20"/>
  <c r="AK162" i="20"/>
  <c r="AK122" i="20"/>
  <c r="AK82" i="20"/>
  <c r="AK50" i="20"/>
  <c r="AK42" i="20"/>
  <c r="AK209" i="20"/>
  <c r="AK177" i="20"/>
  <c r="AK145" i="20"/>
  <c r="AK121" i="20"/>
  <c r="AK89" i="20"/>
  <c r="AK65" i="20"/>
  <c r="AK17" i="20"/>
  <c r="AK200" i="20"/>
  <c r="AK160" i="20"/>
  <c r="AK136" i="20"/>
  <c r="AK112" i="20"/>
  <c r="AK80" i="20"/>
  <c r="AK48" i="20"/>
  <c r="AK24" i="20"/>
  <c r="AK223" i="20"/>
  <c r="AK191" i="20"/>
  <c r="AK159" i="20"/>
  <c r="AK127" i="20"/>
  <c r="AK63" i="20"/>
  <c r="AK220" i="20"/>
  <c r="AK212" i="20"/>
  <c r="AK204" i="20"/>
  <c r="AK196" i="20"/>
  <c r="AK188" i="20"/>
  <c r="AK180" i="20"/>
  <c r="AK172" i="20"/>
  <c r="AK164" i="20"/>
  <c r="AK156" i="20"/>
  <c r="AK148" i="20"/>
  <c r="AK140" i="20"/>
  <c r="AK132" i="20"/>
  <c r="AK124" i="20"/>
  <c r="AK116" i="20"/>
  <c r="AK108" i="20"/>
  <c r="AK100" i="20"/>
  <c r="AK92" i="20"/>
  <c r="AK84" i="20"/>
  <c r="AK76" i="20"/>
  <c r="AK68" i="20"/>
  <c r="AK60" i="20"/>
  <c r="AK52" i="20"/>
  <c r="AK44" i="20"/>
  <c r="AK36" i="20"/>
  <c r="AK28" i="20"/>
  <c r="AK20" i="20"/>
  <c r="AK12" i="20"/>
  <c r="AK4" i="20"/>
  <c r="AK194" i="20"/>
  <c r="AK146" i="20"/>
  <c r="AK114" i="20"/>
  <c r="AK74" i="20"/>
  <c r="AK26" i="20"/>
  <c r="AK217" i="20"/>
  <c r="AK185" i="20"/>
  <c r="AK153" i="20"/>
  <c r="AK105" i="20"/>
  <c r="AK81" i="20"/>
  <c r="AK41" i="20"/>
  <c r="AK33" i="20"/>
  <c r="AK2" i="20"/>
  <c r="AK184" i="20"/>
  <c r="AK144" i="20"/>
  <c r="AK104" i="20"/>
  <c r="AK72" i="20"/>
  <c r="AK40" i="20"/>
  <c r="AK32" i="20"/>
  <c r="AK215" i="20"/>
  <c r="AK183" i="20"/>
  <c r="AK143" i="20"/>
  <c r="AK79" i="20"/>
  <c r="AK221" i="20"/>
  <c r="AK219" i="20"/>
  <c r="AK211" i="20"/>
  <c r="AK203" i="20"/>
  <c r="AK195" i="20"/>
  <c r="AK187" i="20"/>
  <c r="AK179" i="20"/>
  <c r="AK171" i="20"/>
  <c r="AK163" i="20"/>
  <c r="AK155" i="20"/>
  <c r="AK147" i="20"/>
  <c r="AK139" i="20"/>
  <c r="AK131" i="20"/>
  <c r="AK123" i="20"/>
  <c r="AK115" i="20"/>
  <c r="AK107" i="20"/>
  <c r="AK99" i="20"/>
  <c r="AK91" i="20"/>
  <c r="AK83" i="20"/>
  <c r="AK75" i="20"/>
  <c r="AK67" i="20"/>
  <c r="AK59" i="20"/>
  <c r="AK51" i="20"/>
  <c r="AK43" i="20"/>
  <c r="AK35" i="20"/>
  <c r="AK27" i="20"/>
  <c r="AK19" i="20"/>
  <c r="AK11" i="20"/>
  <c r="AD217" i="20"/>
  <c r="AD209" i="20"/>
  <c r="AD201" i="20"/>
  <c r="AD193" i="20"/>
  <c r="AD185" i="20"/>
  <c r="AD177" i="20"/>
  <c r="AD169" i="20"/>
  <c r="AD161" i="20"/>
  <c r="AD153" i="20"/>
  <c r="AD145" i="20"/>
  <c r="AD137" i="20"/>
  <c r="AD129" i="20"/>
  <c r="AD121" i="20"/>
  <c r="AD113" i="20"/>
  <c r="AD105" i="20"/>
  <c r="AD97" i="20"/>
  <c r="AD89" i="20"/>
  <c r="AD81" i="20"/>
  <c r="AD73" i="20"/>
  <c r="AD65" i="20"/>
  <c r="AD57" i="20"/>
  <c r="AD49" i="20"/>
  <c r="AD41" i="20"/>
  <c r="AD33" i="20"/>
  <c r="AD25" i="20"/>
  <c r="AD17" i="20"/>
  <c r="AD9" i="20"/>
  <c r="AD18" i="20"/>
  <c r="AD2" i="20"/>
  <c r="AD216" i="20"/>
  <c r="AD208" i="20"/>
  <c r="AD200" i="20"/>
  <c r="AD192" i="20"/>
  <c r="AD184" i="20"/>
  <c r="AD176" i="20"/>
  <c r="AD168" i="20"/>
  <c r="AD160" i="20"/>
  <c r="AD152" i="20"/>
  <c r="AD144" i="20"/>
  <c r="AD136" i="20"/>
  <c r="AD128" i="20"/>
  <c r="AD120" i="20"/>
  <c r="AD112" i="20"/>
  <c r="AD104" i="20"/>
  <c r="AD96" i="20"/>
  <c r="AD88" i="20"/>
  <c r="AD80" i="20"/>
  <c r="AD72" i="20"/>
  <c r="AD64" i="20"/>
  <c r="AD56" i="20"/>
  <c r="AD48" i="20"/>
  <c r="AD40" i="20"/>
  <c r="AD32" i="20"/>
  <c r="AD24" i="20"/>
  <c r="AD16" i="20"/>
  <c r="AD8" i="20"/>
  <c r="AD34" i="20"/>
  <c r="AD26" i="20"/>
  <c r="AD10" i="20"/>
  <c r="AD223" i="20"/>
  <c r="AD215" i="20"/>
  <c r="AD207" i="20"/>
  <c r="AD199" i="20"/>
  <c r="AD191" i="20"/>
  <c r="AD183" i="20"/>
  <c r="AD175" i="20"/>
  <c r="AD167" i="20"/>
  <c r="AD159" i="20"/>
  <c r="AD151" i="20"/>
  <c r="AD143" i="20"/>
  <c r="AD135" i="20"/>
  <c r="AD127" i="20"/>
  <c r="AD119" i="20"/>
  <c r="AD111" i="20"/>
  <c r="AD103" i="20"/>
  <c r="AD95" i="20"/>
  <c r="AD87" i="20"/>
  <c r="AD79" i="20"/>
  <c r="AD71" i="20"/>
  <c r="AD63" i="20"/>
  <c r="AD55" i="20"/>
  <c r="AD47" i="20"/>
  <c r="AD39" i="20"/>
  <c r="AD31" i="20"/>
  <c r="AD23" i="20"/>
  <c r="AD15" i="20"/>
  <c r="AD7" i="20"/>
  <c r="AD174" i="20"/>
  <c r="AD166" i="20"/>
  <c r="AD150" i="20"/>
  <c r="AD134" i="20"/>
  <c r="AD118" i="20"/>
  <c r="AD102" i="20"/>
  <c r="AD86" i="20"/>
  <c r="AD70" i="20"/>
  <c r="AD54" i="20"/>
  <c r="AD38" i="20"/>
  <c r="AD22" i="20"/>
  <c r="AD6" i="20"/>
  <c r="AD221" i="20"/>
  <c r="AD213" i="20"/>
  <c r="AD205" i="20"/>
  <c r="AD197" i="20"/>
  <c r="AD189" i="20"/>
  <c r="AD181" i="20"/>
  <c r="AD173" i="20"/>
  <c r="AD165" i="20"/>
  <c r="AD157" i="20"/>
  <c r="AD149" i="20"/>
  <c r="AD141" i="20"/>
  <c r="AD133" i="20"/>
  <c r="AD125" i="20"/>
  <c r="AD117" i="20"/>
  <c r="AD109" i="20"/>
  <c r="AD101" i="20"/>
  <c r="AD93" i="20"/>
  <c r="AD85" i="20"/>
  <c r="AD77" i="20"/>
  <c r="AD69" i="20"/>
  <c r="AD61" i="20"/>
  <c r="AD53" i="20"/>
  <c r="AD45" i="20"/>
  <c r="AD37" i="20"/>
  <c r="AD29" i="20"/>
  <c r="AD21" i="20"/>
  <c r="AD13" i="20"/>
  <c r="AD5" i="20"/>
  <c r="AD190" i="20"/>
  <c r="AD158" i="20"/>
  <c r="AD142" i="20"/>
  <c r="AD126" i="20"/>
  <c r="AD110" i="20"/>
  <c r="AD94" i="20"/>
  <c r="AD78" i="20"/>
  <c r="AD62" i="20"/>
  <c r="AD46" i="20"/>
  <c r="AD30" i="20"/>
  <c r="AD14" i="20"/>
  <c r="AD220" i="20"/>
  <c r="AD212" i="20"/>
  <c r="AD204" i="20"/>
  <c r="AD196" i="20"/>
  <c r="AD188" i="20"/>
  <c r="AD180" i="20"/>
  <c r="AD172" i="20"/>
  <c r="AD164" i="20"/>
  <c r="AD156" i="20"/>
  <c r="AD148" i="20"/>
  <c r="AD140" i="20"/>
  <c r="AD132" i="20"/>
  <c r="AD124" i="20"/>
  <c r="AD116" i="20"/>
  <c r="AD108" i="20"/>
  <c r="AD100" i="20"/>
  <c r="AD92" i="20"/>
  <c r="AD84" i="20"/>
  <c r="AD76" i="20"/>
  <c r="AD68" i="20"/>
  <c r="AD60" i="20"/>
  <c r="AD52" i="20"/>
  <c r="AD44" i="20"/>
  <c r="AD36" i="20"/>
  <c r="AD28" i="20"/>
  <c r="AD20" i="20"/>
  <c r="AD12" i="20"/>
  <c r="AD4" i="20"/>
  <c r="AD219" i="20"/>
  <c r="AD211" i="20"/>
  <c r="AD203" i="20"/>
  <c r="AD195" i="20"/>
  <c r="AD187" i="20"/>
  <c r="AD179" i="20"/>
  <c r="AD171" i="20"/>
  <c r="AD163" i="20"/>
  <c r="AD155" i="20"/>
  <c r="AD147" i="20"/>
  <c r="AD139" i="20"/>
  <c r="AD131" i="20"/>
  <c r="AD123" i="20"/>
  <c r="AD115" i="20"/>
  <c r="AD107" i="20"/>
  <c r="AD99" i="20"/>
  <c r="AD91" i="20"/>
  <c r="AD83" i="20"/>
  <c r="AD75" i="20"/>
  <c r="AD67" i="20"/>
  <c r="AD59" i="20"/>
  <c r="AD51" i="20"/>
  <c r="AD43" i="20"/>
  <c r="AD35" i="20"/>
  <c r="AD27" i="20"/>
  <c r="AD19" i="20"/>
  <c r="AD11" i="20"/>
  <c r="L22" i="15"/>
  <c r="L23" i="15" s="1"/>
  <c r="O26" i="15"/>
  <c r="L26" i="15"/>
  <c r="F27" i="15" s="1"/>
  <c r="O24" i="15"/>
  <c r="L24" i="15"/>
  <c r="M26" i="15"/>
  <c r="U27" i="15" s="1"/>
  <c r="M28" i="15"/>
  <c r="U29" i="15" s="1"/>
  <c r="L28" i="15"/>
  <c r="T29" i="15"/>
  <c r="M24" i="15"/>
  <c r="U25" i="15" s="1"/>
  <c r="M22" i="15"/>
  <c r="U23" i="15" s="1"/>
  <c r="L20" i="15"/>
  <c r="L21" i="15" s="1"/>
  <c r="M20" i="15"/>
  <c r="U21" i="15" s="1"/>
  <c r="O20" i="15"/>
  <c r="K3" i="20"/>
  <c r="I224" i="20" s="1"/>
  <c r="F182" i="20"/>
  <c r="F181" i="20"/>
  <c r="H181" i="20" s="1"/>
  <c r="F180" i="20"/>
  <c r="H180" i="20" s="1"/>
  <c r="F179" i="20"/>
  <c r="H179" i="20" s="1"/>
  <c r="F178" i="20"/>
  <c r="H178" i="20" s="1"/>
  <c r="F177" i="20"/>
  <c r="H177" i="20" s="1"/>
  <c r="F176" i="20"/>
  <c r="H176" i="20" s="1"/>
  <c r="F175" i="20"/>
  <c r="H175" i="20" s="1"/>
  <c r="F174" i="20"/>
  <c r="H174" i="20" s="1"/>
  <c r="F173" i="20"/>
  <c r="H173" i="20" s="1"/>
  <c r="F172" i="20"/>
  <c r="H172" i="20" s="1"/>
  <c r="F171" i="20"/>
  <c r="H171" i="20" s="1"/>
  <c r="F170" i="20"/>
  <c r="H170" i="20" s="1"/>
  <c r="F169" i="20"/>
  <c r="H169" i="20" s="1"/>
  <c r="F168" i="20"/>
  <c r="H168" i="20" s="1"/>
  <c r="F167" i="20"/>
  <c r="H167" i="20" s="1"/>
  <c r="F166" i="20"/>
  <c r="H166" i="20" s="1"/>
  <c r="F165" i="20"/>
  <c r="H165" i="20" s="1"/>
  <c r="F164" i="20"/>
  <c r="H164" i="20" s="1"/>
  <c r="F163" i="20"/>
  <c r="H163" i="20" s="1"/>
  <c r="F162" i="20"/>
  <c r="H162" i="20" s="1"/>
  <c r="F161" i="20"/>
  <c r="H161" i="20" s="1"/>
  <c r="F160" i="20"/>
  <c r="H160" i="20" s="1"/>
  <c r="F159" i="20"/>
  <c r="H159" i="20" s="1"/>
  <c r="F158" i="20"/>
  <c r="H158" i="20" s="1"/>
  <c r="F157" i="20"/>
  <c r="H157" i="20" s="1"/>
  <c r="F156" i="20"/>
  <c r="H156" i="20" s="1"/>
  <c r="F155" i="20"/>
  <c r="H155" i="20" s="1"/>
  <c r="F154" i="20"/>
  <c r="H154" i="20" s="1"/>
  <c r="F153" i="20"/>
  <c r="H153" i="20" s="1"/>
  <c r="F152" i="20"/>
  <c r="H152" i="20" s="1"/>
  <c r="F151" i="20"/>
  <c r="H151" i="20" s="1"/>
  <c r="F150" i="20"/>
  <c r="H150" i="20" s="1"/>
  <c r="F149" i="20"/>
  <c r="H149" i="20" s="1"/>
  <c r="F148" i="20"/>
  <c r="H148" i="20" s="1"/>
  <c r="F147" i="20"/>
  <c r="H147" i="20" s="1"/>
  <c r="F146" i="20"/>
  <c r="H146" i="20" s="1"/>
  <c r="F145" i="20"/>
  <c r="H145" i="20" s="1"/>
  <c r="F144" i="20"/>
  <c r="H144" i="20" s="1"/>
  <c r="F143" i="20"/>
  <c r="H143" i="20" s="1"/>
  <c r="F142" i="20"/>
  <c r="H142" i="20" s="1"/>
  <c r="F141" i="20"/>
  <c r="H141" i="20" s="1"/>
  <c r="F140" i="20"/>
  <c r="H140" i="20" s="1"/>
  <c r="F139" i="20"/>
  <c r="H139" i="20" s="1"/>
  <c r="F138" i="20"/>
  <c r="H138" i="20" s="1"/>
  <c r="F137" i="20"/>
  <c r="H137" i="20" s="1"/>
  <c r="F136" i="20"/>
  <c r="H136" i="20" s="1"/>
  <c r="F135" i="20"/>
  <c r="H135" i="20" s="1"/>
  <c r="F134" i="20"/>
  <c r="H134" i="20" s="1"/>
  <c r="F133" i="20"/>
  <c r="H133" i="20" s="1"/>
  <c r="F132" i="20"/>
  <c r="H132" i="20" s="1"/>
  <c r="F131" i="20"/>
  <c r="H131" i="20" s="1"/>
  <c r="F130" i="20"/>
  <c r="H130" i="20" s="1"/>
  <c r="F129" i="20"/>
  <c r="H129" i="20" s="1"/>
  <c r="F128" i="20"/>
  <c r="H128" i="20" s="1"/>
  <c r="F127" i="20"/>
  <c r="H127" i="20" s="1"/>
  <c r="F126" i="20"/>
  <c r="H126" i="20" s="1"/>
  <c r="F125" i="20"/>
  <c r="H125" i="20" s="1"/>
  <c r="F124" i="20"/>
  <c r="H124" i="20" s="1"/>
  <c r="F123" i="20"/>
  <c r="H123" i="20" s="1"/>
  <c r="F122" i="20"/>
  <c r="H122" i="20" s="1"/>
  <c r="F121" i="20"/>
  <c r="H121" i="20" s="1"/>
  <c r="F120" i="20"/>
  <c r="H120" i="20" s="1"/>
  <c r="F119" i="20"/>
  <c r="H119" i="20" s="1"/>
  <c r="F118" i="20"/>
  <c r="H118" i="20" s="1"/>
  <c r="F117" i="20"/>
  <c r="H117" i="20" s="1"/>
  <c r="F116" i="20"/>
  <c r="H116" i="20" s="1"/>
  <c r="F115" i="20"/>
  <c r="H115" i="20" s="1"/>
  <c r="F114" i="20"/>
  <c r="H114" i="20" s="1"/>
  <c r="F113" i="20"/>
  <c r="H113" i="20" s="1"/>
  <c r="F112" i="20"/>
  <c r="H112" i="20" s="1"/>
  <c r="F111" i="20"/>
  <c r="H111" i="20" s="1"/>
  <c r="F110" i="20"/>
  <c r="H110" i="20" s="1"/>
  <c r="F109" i="20"/>
  <c r="H109" i="20" s="1"/>
  <c r="F108" i="20"/>
  <c r="H108" i="20" s="1"/>
  <c r="F107" i="20"/>
  <c r="H107" i="20" s="1"/>
  <c r="F106" i="20"/>
  <c r="H106" i="20" s="1"/>
  <c r="F105" i="20"/>
  <c r="H105" i="20" s="1"/>
  <c r="F104" i="20"/>
  <c r="H104" i="20" s="1"/>
  <c r="F103" i="20"/>
  <c r="H103" i="20" s="1"/>
  <c r="F102" i="20"/>
  <c r="H102" i="20" s="1"/>
  <c r="F101" i="20"/>
  <c r="H101" i="20" s="1"/>
  <c r="F100" i="20"/>
  <c r="H100" i="20" s="1"/>
  <c r="F99" i="20"/>
  <c r="H99" i="20" s="1"/>
  <c r="F98" i="20"/>
  <c r="H98" i="20" s="1"/>
  <c r="F97" i="20"/>
  <c r="H97" i="20" s="1"/>
  <c r="F96" i="20"/>
  <c r="H96" i="20" s="1"/>
  <c r="F95" i="20"/>
  <c r="H95" i="20" s="1"/>
  <c r="F94" i="20"/>
  <c r="H94" i="20" s="1"/>
  <c r="F93" i="20"/>
  <c r="H93" i="20" s="1"/>
  <c r="F92" i="20"/>
  <c r="H92" i="20" s="1"/>
  <c r="F91" i="20"/>
  <c r="H91" i="20" s="1"/>
  <c r="F90" i="20"/>
  <c r="H90" i="20" s="1"/>
  <c r="F89" i="20"/>
  <c r="H89" i="20" s="1"/>
  <c r="F88" i="20"/>
  <c r="H88" i="20" s="1"/>
  <c r="F87" i="20"/>
  <c r="H87" i="20" s="1"/>
  <c r="F86" i="20"/>
  <c r="H86" i="20" s="1"/>
  <c r="F85" i="20"/>
  <c r="H85" i="20" s="1"/>
  <c r="F84" i="20"/>
  <c r="H84" i="20" s="1"/>
  <c r="F83" i="20"/>
  <c r="H83" i="20" s="1"/>
  <c r="F82" i="20"/>
  <c r="H82" i="20" s="1"/>
  <c r="F81" i="20"/>
  <c r="H81" i="20" s="1"/>
  <c r="F80" i="20"/>
  <c r="H80" i="20" s="1"/>
  <c r="F79" i="20"/>
  <c r="H79" i="20" s="1"/>
  <c r="F78" i="20"/>
  <c r="H78" i="20" s="1"/>
  <c r="F77" i="20"/>
  <c r="H77" i="20" s="1"/>
  <c r="F76" i="20"/>
  <c r="H76" i="20" s="1"/>
  <c r="F75" i="20"/>
  <c r="H75" i="20" s="1"/>
  <c r="F74" i="20"/>
  <c r="H74" i="20" s="1"/>
  <c r="F73" i="20"/>
  <c r="H73" i="20" s="1"/>
  <c r="F72" i="20"/>
  <c r="H72" i="20" s="1"/>
  <c r="F71" i="20"/>
  <c r="H71" i="20" s="1"/>
  <c r="F70" i="20"/>
  <c r="H70" i="20" s="1"/>
  <c r="F69" i="20"/>
  <c r="H69" i="20" s="1"/>
  <c r="F68" i="20"/>
  <c r="H68" i="20" s="1"/>
  <c r="F67" i="20"/>
  <c r="H67" i="20" s="1"/>
  <c r="F66" i="20"/>
  <c r="H66" i="20" s="1"/>
  <c r="F65" i="20"/>
  <c r="H65" i="20" s="1"/>
  <c r="F64" i="20"/>
  <c r="H64" i="20" s="1"/>
  <c r="F63" i="20"/>
  <c r="H63" i="20" s="1"/>
  <c r="F62" i="20"/>
  <c r="H62" i="20" s="1"/>
  <c r="F61" i="20"/>
  <c r="H61" i="20" s="1"/>
  <c r="F60" i="20"/>
  <c r="H60" i="20" s="1"/>
  <c r="F59" i="20"/>
  <c r="H59" i="20" s="1"/>
  <c r="F58" i="20"/>
  <c r="H58" i="20" s="1"/>
  <c r="F57" i="20"/>
  <c r="H57" i="20" s="1"/>
  <c r="F56" i="20"/>
  <c r="H56" i="20" s="1"/>
  <c r="F55" i="20"/>
  <c r="H55" i="20" s="1"/>
  <c r="F54" i="20"/>
  <c r="H54" i="20" s="1"/>
  <c r="F53" i="20"/>
  <c r="H53" i="20" s="1"/>
  <c r="F52" i="20"/>
  <c r="H52" i="20" s="1"/>
  <c r="F51" i="20"/>
  <c r="H51" i="20" s="1"/>
  <c r="F50" i="20"/>
  <c r="H50" i="20" s="1"/>
  <c r="F49" i="20"/>
  <c r="H49" i="20" s="1"/>
  <c r="F48" i="20"/>
  <c r="H48" i="20" s="1"/>
  <c r="F47" i="20"/>
  <c r="H47" i="20" s="1"/>
  <c r="F46" i="20"/>
  <c r="H46" i="20" s="1"/>
  <c r="F45" i="20"/>
  <c r="H45" i="20" s="1"/>
  <c r="F44" i="20"/>
  <c r="H44" i="20" s="1"/>
  <c r="F43" i="20"/>
  <c r="H43" i="20" s="1"/>
  <c r="F42" i="20"/>
  <c r="H42" i="20" s="1"/>
  <c r="F41" i="20"/>
  <c r="H41" i="20" s="1"/>
  <c r="F40" i="20"/>
  <c r="H40" i="20" s="1"/>
  <c r="F39" i="20"/>
  <c r="H39" i="20" s="1"/>
  <c r="F38" i="20"/>
  <c r="H38" i="20" s="1"/>
  <c r="F37" i="20"/>
  <c r="H37" i="20" s="1"/>
  <c r="F36" i="20"/>
  <c r="H36" i="20" s="1"/>
  <c r="F35" i="20"/>
  <c r="H35" i="20" s="1"/>
  <c r="F34" i="20"/>
  <c r="H34" i="20" s="1"/>
  <c r="F33" i="20"/>
  <c r="H33" i="20" s="1"/>
  <c r="F32" i="20"/>
  <c r="H32" i="20" s="1"/>
  <c r="F31" i="20"/>
  <c r="H31" i="20" s="1"/>
  <c r="F30" i="20"/>
  <c r="H30" i="20" s="1"/>
  <c r="F29" i="20"/>
  <c r="H29" i="20" s="1"/>
  <c r="F28" i="20"/>
  <c r="H28" i="20" s="1"/>
  <c r="F27" i="20"/>
  <c r="H27" i="20" s="1"/>
  <c r="F26" i="20"/>
  <c r="H26" i="20" s="1"/>
  <c r="F25" i="20"/>
  <c r="H25" i="20" s="1"/>
  <c r="F24" i="20"/>
  <c r="H24" i="20" s="1"/>
  <c r="F23" i="20"/>
  <c r="H23" i="20" s="1"/>
  <c r="F22" i="20"/>
  <c r="H22" i="20" s="1"/>
  <c r="F21" i="20"/>
  <c r="H21" i="20" s="1"/>
  <c r="F20" i="20"/>
  <c r="H20" i="20" s="1"/>
  <c r="F19" i="20"/>
  <c r="H19" i="20" s="1"/>
  <c r="F18" i="20"/>
  <c r="H18" i="20" s="1"/>
  <c r="F17" i="20"/>
  <c r="H17" i="20" s="1"/>
  <c r="F16" i="20"/>
  <c r="H16" i="20" s="1"/>
  <c r="F15" i="20"/>
  <c r="H15" i="20" s="1"/>
  <c r="F14" i="20"/>
  <c r="H14" i="20" s="1"/>
  <c r="F13" i="20"/>
  <c r="H13" i="20" s="1"/>
  <c r="F12" i="20"/>
  <c r="H12" i="20" s="1"/>
  <c r="F11" i="20"/>
  <c r="H11" i="20" s="1"/>
  <c r="F10" i="20"/>
  <c r="H10" i="20" s="1"/>
  <c r="F9" i="20"/>
  <c r="H9" i="20" s="1"/>
  <c r="F8" i="20"/>
  <c r="H8" i="20" s="1"/>
  <c r="F7" i="20"/>
  <c r="H7" i="20" s="1"/>
  <c r="F6" i="20"/>
  <c r="H6" i="20" s="1"/>
  <c r="F5" i="20"/>
  <c r="H5" i="20" s="1"/>
  <c r="F4" i="20"/>
  <c r="H4" i="20" s="1"/>
  <c r="F3" i="20"/>
  <c r="H3" i="20" s="1"/>
  <c r="F2" i="20"/>
  <c r="H2" i="20" s="1"/>
  <c r="Q13" i="17"/>
  <c r="Q14" i="17"/>
  <c r="Q15" i="17"/>
  <c r="Q16" i="17"/>
  <c r="Q18" i="17"/>
  <c r="Q19" i="17"/>
  <c r="Q20" i="17"/>
  <c r="Q21" i="17"/>
  <c r="Q22" i="17"/>
  <c r="Q23" i="17"/>
  <c r="Q24" i="17"/>
  <c r="Q25" i="17"/>
  <c r="Q26" i="17"/>
  <c r="Q27" i="17"/>
  <c r="Q28" i="17"/>
  <c r="Q29" i="17"/>
  <c r="Q30" i="17"/>
  <c r="Q31" i="17"/>
  <c r="Q32" i="17"/>
  <c r="Q34" i="17"/>
  <c r="Q35" i="17"/>
  <c r="Q36" i="17"/>
  <c r="Q37" i="17"/>
  <c r="Q38" i="17"/>
  <c r="Q39" i="17"/>
  <c r="Q40" i="17"/>
  <c r="Q41" i="17"/>
  <c r="Q42" i="17"/>
  <c r="Q43" i="17"/>
  <c r="Q12" i="17"/>
  <c r="W56" i="17"/>
  <c r="X56" i="17"/>
  <c r="C5" i="21" l="1"/>
  <c r="C14" i="21"/>
  <c r="C15" i="21"/>
  <c r="C16" i="21"/>
  <c r="C6" i="21"/>
  <c r="C7" i="21"/>
  <c r="C8" i="21"/>
  <c r="C4" i="21"/>
  <c r="C9" i="21"/>
  <c r="C10" i="21"/>
  <c r="C11" i="21"/>
  <c r="C13" i="21"/>
  <c r="S23" i="15"/>
  <c r="T23" i="15"/>
  <c r="S21" i="15"/>
  <c r="T21" i="15"/>
  <c r="C22" i="15"/>
  <c r="E24" i="15"/>
  <c r="L25" i="15"/>
  <c r="G24" i="15" s="1"/>
  <c r="C24" i="15"/>
  <c r="T3" i="20"/>
  <c r="C20" i="15"/>
  <c r="AO3" i="20"/>
  <c r="Z3" i="20"/>
  <c r="AB2" i="20" s="1"/>
  <c r="AC2" i="20" s="1" a="1"/>
  <c r="AC2" i="20" s="1"/>
  <c r="S3" i="20"/>
  <c r="U2" i="20" s="1"/>
  <c r="AA3" i="20"/>
  <c r="AH3" i="20"/>
  <c r="AN3" i="20"/>
  <c r="AP2" i="20" s="1"/>
  <c r="AP3" i="20" s="1"/>
  <c r="AP4" i="20" s="1"/>
  <c r="AP5" i="20" s="1"/>
  <c r="AP6" i="20" s="1"/>
  <c r="AP7" i="20" s="1"/>
  <c r="AP8" i="20" s="1"/>
  <c r="AP9" i="20" s="1"/>
  <c r="AP10" i="20" s="1"/>
  <c r="AP11" i="20" s="1"/>
  <c r="AP12" i="20" s="1"/>
  <c r="AP13" i="20" s="1"/>
  <c r="AP14" i="20" s="1"/>
  <c r="AP15" i="20" s="1"/>
  <c r="AP16" i="20" s="1"/>
  <c r="AP17" i="20" s="1"/>
  <c r="AP18" i="20" s="1"/>
  <c r="AP19" i="20" s="1"/>
  <c r="AP20" i="20" s="1"/>
  <c r="AP21" i="20" s="1"/>
  <c r="AP22" i="20" s="1"/>
  <c r="AP23" i="20" s="1"/>
  <c r="AP24" i="20" s="1"/>
  <c r="AP25" i="20" s="1"/>
  <c r="AP26" i="20" s="1"/>
  <c r="AP27" i="20" s="1"/>
  <c r="AP28" i="20" s="1"/>
  <c r="AP29" i="20" s="1"/>
  <c r="AP30" i="20" s="1"/>
  <c r="AP31" i="20" s="1"/>
  <c r="AP32" i="20" s="1"/>
  <c r="AP33" i="20" s="1"/>
  <c r="AP34" i="20" s="1"/>
  <c r="AP35" i="20" s="1"/>
  <c r="AP36" i="20" s="1"/>
  <c r="AP37" i="20" s="1"/>
  <c r="AP38" i="20" s="1"/>
  <c r="AP39" i="20" s="1"/>
  <c r="AP40" i="20" s="1"/>
  <c r="AP41" i="20" s="1"/>
  <c r="AP42" i="20" s="1"/>
  <c r="AP43" i="20" s="1"/>
  <c r="AP44" i="20" s="1"/>
  <c r="AP45" i="20" s="1"/>
  <c r="AP46" i="20" s="1"/>
  <c r="D26" i="15"/>
  <c r="AG3" i="20"/>
  <c r="AI2" i="20" s="1"/>
  <c r="G26" i="15"/>
  <c r="D24" i="15"/>
  <c r="I10" i="20"/>
  <c r="I18" i="20"/>
  <c r="I26" i="20"/>
  <c r="I34" i="20"/>
  <c r="I42" i="20"/>
  <c r="I50" i="20"/>
  <c r="I58" i="20"/>
  <c r="I66" i="20"/>
  <c r="I74" i="20"/>
  <c r="I82" i="20"/>
  <c r="I90" i="20"/>
  <c r="I98" i="20"/>
  <c r="I106" i="20"/>
  <c r="I114" i="20"/>
  <c r="I122" i="20"/>
  <c r="I130" i="20"/>
  <c r="I138" i="20"/>
  <c r="I146" i="20"/>
  <c r="I154" i="20"/>
  <c r="I162" i="20"/>
  <c r="I170" i="20"/>
  <c r="I178" i="20"/>
  <c r="I186" i="20"/>
  <c r="I194" i="20"/>
  <c r="I202" i="20"/>
  <c r="I210" i="20"/>
  <c r="I218" i="20"/>
  <c r="I3" i="20"/>
  <c r="I11" i="20"/>
  <c r="I19" i="20"/>
  <c r="I27" i="20"/>
  <c r="I35" i="20"/>
  <c r="I43" i="20"/>
  <c r="I51" i="20"/>
  <c r="I59" i="20"/>
  <c r="I67" i="20"/>
  <c r="I75" i="20"/>
  <c r="I83" i="20"/>
  <c r="I91" i="20"/>
  <c r="I99" i="20"/>
  <c r="I107" i="20"/>
  <c r="I115" i="20"/>
  <c r="I123" i="20"/>
  <c r="I131" i="20"/>
  <c r="I139" i="20"/>
  <c r="I147" i="20"/>
  <c r="I155" i="20"/>
  <c r="I163" i="20"/>
  <c r="I171" i="20"/>
  <c r="I179" i="20"/>
  <c r="I187" i="20"/>
  <c r="I195" i="20"/>
  <c r="I203" i="20"/>
  <c r="I211" i="20"/>
  <c r="I219" i="20"/>
  <c r="I30" i="20"/>
  <c r="I46" i="20"/>
  <c r="I70" i="20"/>
  <c r="I94" i="20"/>
  <c r="I126" i="20"/>
  <c r="I150" i="20"/>
  <c r="I182" i="20"/>
  <c r="I206" i="20"/>
  <c r="I128" i="20"/>
  <c r="I184" i="20"/>
  <c r="I2" i="20"/>
  <c r="I33" i="20"/>
  <c r="I57" i="20"/>
  <c r="I89" i="20"/>
  <c r="I129" i="20"/>
  <c r="I169" i="20"/>
  <c r="I201" i="20"/>
  <c r="I4" i="20"/>
  <c r="I12" i="20"/>
  <c r="I20" i="20"/>
  <c r="I28" i="20"/>
  <c r="I36" i="20"/>
  <c r="I44" i="20"/>
  <c r="I52" i="20"/>
  <c r="I60" i="20"/>
  <c r="I68" i="20"/>
  <c r="I76" i="20"/>
  <c r="I84" i="20"/>
  <c r="I92" i="20"/>
  <c r="I100" i="20"/>
  <c r="I108" i="20"/>
  <c r="I116" i="20"/>
  <c r="I124" i="20"/>
  <c r="I132" i="20"/>
  <c r="I140" i="20"/>
  <c r="I148" i="20"/>
  <c r="I156" i="20"/>
  <c r="I164" i="20"/>
  <c r="I172" i="20"/>
  <c r="I180" i="20"/>
  <c r="I188" i="20"/>
  <c r="I196" i="20"/>
  <c r="I204" i="20"/>
  <c r="I212" i="20"/>
  <c r="I220" i="20"/>
  <c r="I213" i="20"/>
  <c r="I22" i="20"/>
  <c r="I38" i="20"/>
  <c r="I54" i="20"/>
  <c r="I78" i="20"/>
  <c r="I102" i="20"/>
  <c r="I118" i="20"/>
  <c r="I134" i="20"/>
  <c r="I158" i="20"/>
  <c r="I190" i="20"/>
  <c r="I222" i="20"/>
  <c r="I144" i="20"/>
  <c r="I200" i="20"/>
  <c r="I17" i="20"/>
  <c r="I49" i="20"/>
  <c r="I97" i="20"/>
  <c r="I137" i="20"/>
  <c r="I185" i="20"/>
  <c r="I5" i="20"/>
  <c r="I13" i="20"/>
  <c r="I21" i="20"/>
  <c r="I29" i="20"/>
  <c r="I37" i="20"/>
  <c r="I45" i="20"/>
  <c r="I53" i="20"/>
  <c r="I61" i="20"/>
  <c r="I69" i="20"/>
  <c r="I77" i="20"/>
  <c r="I85" i="20"/>
  <c r="I93" i="20"/>
  <c r="I101" i="20"/>
  <c r="I109" i="20"/>
  <c r="I117" i="20"/>
  <c r="I125" i="20"/>
  <c r="I133" i="20"/>
  <c r="I141" i="20"/>
  <c r="I149" i="20"/>
  <c r="I157" i="20"/>
  <c r="I165" i="20"/>
  <c r="I173" i="20"/>
  <c r="I181" i="20"/>
  <c r="I189" i="20"/>
  <c r="I197" i="20"/>
  <c r="I205" i="20"/>
  <c r="I221" i="20"/>
  <c r="I14" i="20"/>
  <c r="I62" i="20"/>
  <c r="I86" i="20"/>
  <c r="I110" i="20"/>
  <c r="I142" i="20"/>
  <c r="I174" i="20"/>
  <c r="I198" i="20"/>
  <c r="I136" i="20"/>
  <c r="I168" i="20"/>
  <c r="I208" i="20"/>
  <c r="I9" i="20"/>
  <c r="I65" i="20"/>
  <c r="I113" i="20"/>
  <c r="I153" i="20"/>
  <c r="I193" i="20"/>
  <c r="I6" i="20"/>
  <c r="I166" i="20"/>
  <c r="I214" i="20"/>
  <c r="I176" i="20"/>
  <c r="I25" i="20"/>
  <c r="I73" i="20"/>
  <c r="I105" i="20"/>
  <c r="I145" i="20"/>
  <c r="I177" i="20"/>
  <c r="I217" i="20"/>
  <c r="I7" i="20"/>
  <c r="I15" i="20"/>
  <c r="I23" i="20"/>
  <c r="I31" i="20"/>
  <c r="I39" i="20"/>
  <c r="I47" i="20"/>
  <c r="I55" i="20"/>
  <c r="I63" i="20"/>
  <c r="I71" i="20"/>
  <c r="I79" i="20"/>
  <c r="I87" i="20"/>
  <c r="I95" i="20"/>
  <c r="I103" i="20"/>
  <c r="I111" i="20"/>
  <c r="I119" i="20"/>
  <c r="I127" i="20"/>
  <c r="I135" i="20"/>
  <c r="I143" i="20"/>
  <c r="I151" i="20"/>
  <c r="I159" i="20"/>
  <c r="I167" i="20"/>
  <c r="I175" i="20"/>
  <c r="I183" i="20"/>
  <c r="I191" i="20"/>
  <c r="I199" i="20"/>
  <c r="I207" i="20"/>
  <c r="I215" i="20"/>
  <c r="I223" i="20"/>
  <c r="I8" i="20"/>
  <c r="I16" i="20"/>
  <c r="I24" i="20"/>
  <c r="I32" i="20"/>
  <c r="I40" i="20"/>
  <c r="I48" i="20"/>
  <c r="I56" i="20"/>
  <c r="I64" i="20"/>
  <c r="I72" i="20"/>
  <c r="I80" i="20"/>
  <c r="I88" i="20"/>
  <c r="I96" i="20"/>
  <c r="I104" i="20"/>
  <c r="I112" i="20"/>
  <c r="I120" i="20"/>
  <c r="I152" i="20"/>
  <c r="I160" i="20"/>
  <c r="I192" i="20"/>
  <c r="I216" i="20"/>
  <c r="I41" i="20"/>
  <c r="I81" i="20"/>
  <c r="I121" i="20"/>
  <c r="I161" i="20"/>
  <c r="I209" i="20"/>
  <c r="D22" i="15"/>
  <c r="F23" i="15"/>
  <c r="D23" i="15"/>
  <c r="E22" i="15"/>
  <c r="E26" i="15"/>
  <c r="D27" i="15"/>
  <c r="E25" i="15"/>
  <c r="D25" i="15"/>
  <c r="F29" i="15"/>
  <c r="E28" i="15"/>
  <c r="G28" i="15"/>
  <c r="D29" i="15"/>
  <c r="D28" i="15"/>
  <c r="E29" i="15"/>
  <c r="E23" i="15"/>
  <c r="F25" i="15"/>
  <c r="E27" i="15"/>
  <c r="E21" i="15"/>
  <c r="F21" i="15"/>
  <c r="D21" i="15"/>
  <c r="E20" i="15"/>
  <c r="D20" i="15"/>
  <c r="G20" i="15" l="1"/>
  <c r="G22" i="15"/>
  <c r="AB3" i="20"/>
  <c r="AB4" i="20" s="1"/>
  <c r="U3" i="20"/>
  <c r="V2" i="20" a="1"/>
  <c r="V2" i="20" s="1"/>
  <c r="AI3" i="20"/>
  <c r="AJ2" i="20" a="1"/>
  <c r="AJ2" i="20" s="1"/>
  <c r="M3" i="20"/>
  <c r="L3" i="20"/>
  <c r="N2" i="20" s="1"/>
  <c r="O2" i="20" s="1" a="1"/>
  <c r="O2" i="20" s="1"/>
  <c r="W55" i="17"/>
  <c r="X54" i="17"/>
  <c r="X55" i="17"/>
  <c r="X57" i="17"/>
  <c r="X58" i="17"/>
  <c r="X11" i="17"/>
  <c r="W58" i="17"/>
  <c r="W57" i="17"/>
  <c r="W11" i="17"/>
  <c r="AC3" i="20" l="1" a="1"/>
  <c r="AC3" i="20" s="1"/>
  <c r="U4" i="20"/>
  <c r="V3" i="20" a="1"/>
  <c r="V3" i="20" s="1"/>
  <c r="AB5" i="20"/>
  <c r="AC4" i="20" a="1"/>
  <c r="AC4" i="20" s="1"/>
  <c r="AI4" i="20"/>
  <c r="AJ3" i="20" a="1"/>
  <c r="AJ3" i="20" s="1"/>
  <c r="N3" i="20"/>
  <c r="O3" i="20" s="1" a="1"/>
  <c r="O3" i="20" s="1"/>
  <c r="Q9" i="17"/>
  <c r="U5" i="20" l="1"/>
  <c r="V4" i="20" a="1"/>
  <c r="V4" i="20" s="1"/>
  <c r="AB6" i="20"/>
  <c r="AC5" i="20" a="1"/>
  <c r="AC5" i="20" s="1"/>
  <c r="AI5" i="20"/>
  <c r="AJ4" i="20" a="1"/>
  <c r="AJ4" i="20" s="1"/>
  <c r="N4" i="20"/>
  <c r="O4" i="20" s="1" a="1"/>
  <c r="O4" i="20" s="1"/>
  <c r="C39" i="15"/>
  <c r="B34" i="15"/>
  <c r="U6" i="20" l="1"/>
  <c r="V5" i="20" a="1"/>
  <c r="V5" i="20" s="1"/>
  <c r="AB7" i="20"/>
  <c r="AC6" i="20" a="1"/>
  <c r="AC6" i="20" s="1"/>
  <c r="AI6" i="20"/>
  <c r="AJ5" i="20" a="1"/>
  <c r="AJ5" i="20" s="1"/>
  <c r="N5" i="20"/>
  <c r="O5" i="20" s="1" a="1"/>
  <c r="O5" i="20" s="1"/>
  <c r="U7" i="20" l="1"/>
  <c r="V6" i="20" a="1"/>
  <c r="V6" i="20" s="1"/>
  <c r="AB8" i="20"/>
  <c r="AC7" i="20" a="1"/>
  <c r="AC7" i="20" s="1"/>
  <c r="AI7" i="20"/>
  <c r="AJ6" i="20" a="1"/>
  <c r="AJ6" i="20" s="1"/>
  <c r="N6" i="20"/>
  <c r="O6" i="20" s="1" a="1"/>
  <c r="O6" i="20" s="1"/>
  <c r="U8" i="20" l="1"/>
  <c r="V7" i="20" a="1"/>
  <c r="V7" i="20" s="1"/>
  <c r="AB9" i="20"/>
  <c r="AC8" i="20" a="1"/>
  <c r="AC8" i="20" s="1"/>
  <c r="AI8" i="20"/>
  <c r="AJ7" i="20" a="1"/>
  <c r="AJ7" i="20" s="1"/>
  <c r="N7" i="20"/>
  <c r="O7" i="20" s="1" a="1"/>
  <c r="O7" i="20" s="1"/>
  <c r="C23" i="17"/>
  <c r="P11" i="17"/>
  <c r="O109" i="17"/>
  <c r="N109" i="17"/>
  <c r="Q11" i="17"/>
  <c r="D23" i="17"/>
  <c r="U9" i="20" l="1"/>
  <c r="V8" i="20" a="1"/>
  <c r="V8" i="20" s="1"/>
  <c r="AB10" i="20"/>
  <c r="AC9" i="20" a="1"/>
  <c r="AC9" i="20" s="1"/>
  <c r="AI9" i="20"/>
  <c r="AJ8" i="20" a="1"/>
  <c r="AJ8" i="20" s="1"/>
  <c r="N8" i="20"/>
  <c r="O8" i="20" s="1" a="1"/>
  <c r="O8" i="20" s="1"/>
  <c r="Q1" i="15"/>
  <c r="A8" i="14"/>
  <c r="U10" i="20" l="1"/>
  <c r="V9" i="20" a="1"/>
  <c r="V9" i="20" s="1"/>
  <c r="AB11" i="20"/>
  <c r="AC10" i="20" a="1"/>
  <c r="AC10" i="20" s="1"/>
  <c r="AI10" i="20"/>
  <c r="AJ9" i="20" a="1"/>
  <c r="AJ9" i="20" s="1"/>
  <c r="N9" i="20"/>
  <c r="O9" i="20" s="1" a="1"/>
  <c r="O9" i="20" s="1"/>
  <c r="H30" i="15"/>
  <c r="U11" i="20" l="1"/>
  <c r="V10" i="20" a="1"/>
  <c r="V10" i="20" s="1"/>
  <c r="AB12" i="20"/>
  <c r="AC11" i="20" a="1"/>
  <c r="AC11" i="20" s="1"/>
  <c r="AI11" i="20"/>
  <c r="AJ10" i="20" a="1"/>
  <c r="AJ10" i="20" s="1"/>
  <c r="N10" i="20"/>
  <c r="O10" i="20" s="1" a="1"/>
  <c r="O10" i="20" s="1"/>
  <c r="H5" i="15"/>
  <c r="U12" i="20" l="1"/>
  <c r="V11" i="20" a="1"/>
  <c r="V11" i="20" s="1"/>
  <c r="AB13" i="20"/>
  <c r="AC12" i="20" a="1"/>
  <c r="AC12" i="20" s="1"/>
  <c r="AI12" i="20"/>
  <c r="AJ11" i="20" a="1"/>
  <c r="AJ11" i="20" s="1"/>
  <c r="N11" i="20"/>
  <c r="O11" i="20" s="1" a="1"/>
  <c r="O11" i="20" s="1"/>
  <c r="A9" i="14"/>
  <c r="B3" i="15" s="1"/>
  <c r="A1" i="14"/>
  <c r="A2" i="14" s="1"/>
  <c r="A11" i="14"/>
  <c r="A10" i="14"/>
  <c r="U13" i="20" l="1"/>
  <c r="V12" i="20" a="1"/>
  <c r="V12" i="20" s="1"/>
  <c r="AB14" i="20"/>
  <c r="AC13" i="20" a="1"/>
  <c r="AC13" i="20" s="1"/>
  <c r="AI13" i="20"/>
  <c r="AJ12" i="20" a="1"/>
  <c r="AJ12" i="20" s="1"/>
  <c r="N12" i="20"/>
  <c r="O12" i="20" s="1" a="1"/>
  <c r="O12" i="20" s="1"/>
  <c r="C33" i="15"/>
  <c r="B4" i="14"/>
  <c r="B5" i="14" s="1"/>
  <c r="C2" i="14"/>
  <c r="C6" i="14" s="1"/>
  <c r="B2" i="14"/>
  <c r="A3" i="14"/>
  <c r="U14" i="20" l="1"/>
  <c r="V13" i="20" a="1"/>
  <c r="V13" i="20" s="1"/>
  <c r="AB15" i="20"/>
  <c r="AC14" i="20" a="1"/>
  <c r="AC14" i="20" s="1"/>
  <c r="AI14" i="20"/>
  <c r="AJ13" i="20" a="1"/>
  <c r="AJ13" i="20" s="1"/>
  <c r="N13" i="20"/>
  <c r="O13" i="20" s="1" a="1"/>
  <c r="O13" i="20" s="1"/>
  <c r="C7" i="14"/>
  <c r="C8" i="14" s="1"/>
  <c r="C9" i="14" s="1"/>
  <c r="C10" i="14" s="1"/>
  <c r="C11" i="14" s="1"/>
  <c r="C12" i="14" s="1"/>
  <c r="C13" i="14" s="1"/>
  <c r="C14" i="14" s="1"/>
  <c r="B3" i="14"/>
  <c r="C3" i="14"/>
  <c r="F6" i="14" s="1"/>
  <c r="F2" i="14"/>
  <c r="A4" i="14"/>
  <c r="G1" i="14" s="1"/>
  <c r="D2" i="14"/>
  <c r="U15" i="20" l="1"/>
  <c r="V14" i="20" a="1"/>
  <c r="V14" i="20" s="1"/>
  <c r="AB16" i="20"/>
  <c r="AC15" i="20" a="1"/>
  <c r="AC15" i="20" s="1"/>
  <c r="AI15" i="20"/>
  <c r="AJ14" i="20" a="1"/>
  <c r="AJ14" i="20" s="1"/>
  <c r="N14" i="20"/>
  <c r="O14" i="20" s="1" a="1"/>
  <c r="O14" i="20" s="1"/>
  <c r="F3" i="14"/>
  <c r="B9" i="14"/>
  <c r="B8" i="14"/>
  <c r="H1" i="14"/>
  <c r="F1" i="14" s="1"/>
  <c r="E6" i="14"/>
  <c r="D6" i="14"/>
  <c r="B6" i="14"/>
  <c r="B7" i="14" s="1"/>
  <c r="E2" i="14"/>
  <c r="F7" i="14"/>
  <c r="F8" i="14" s="1"/>
  <c r="F9" i="14" s="1"/>
  <c r="F10" i="14" s="1"/>
  <c r="F11" i="14" s="1"/>
  <c r="F12" i="14" s="1"/>
  <c r="F13" i="14" s="1"/>
  <c r="F14" i="14" s="1"/>
  <c r="D3" i="14"/>
  <c r="C4" i="14"/>
  <c r="U16" i="20" l="1"/>
  <c r="V15" i="20" a="1"/>
  <c r="V15" i="20" s="1"/>
  <c r="AB17" i="20"/>
  <c r="AC16" i="20" a="1"/>
  <c r="AC16" i="20" s="1"/>
  <c r="AI16" i="20"/>
  <c r="AJ15" i="20" a="1"/>
  <c r="AJ15" i="20" s="1"/>
  <c r="N15" i="20"/>
  <c r="O15" i="20" s="1" a="1"/>
  <c r="O15" i="20" s="1"/>
  <c r="D7" i="14"/>
  <c r="D8" i="14" s="1"/>
  <c r="D9" i="14" s="1"/>
  <c r="D10" i="14" s="1"/>
  <c r="D11" i="14" s="1"/>
  <c r="D12" i="14" s="1"/>
  <c r="D13" i="14" s="1"/>
  <c r="D14" i="14" s="1"/>
  <c r="D15" i="14" s="1"/>
  <c r="D16" i="14" s="1"/>
  <c r="D17" i="14" s="1"/>
  <c r="D18" i="14" s="1"/>
  <c r="D19" i="14" s="1"/>
  <c r="D20" i="14" s="1"/>
  <c r="D21" i="14" s="1"/>
  <c r="D22" i="14" s="1"/>
  <c r="B10" i="14"/>
  <c r="D1" i="14"/>
  <c r="D4" i="14"/>
  <c r="E4" i="14" s="1"/>
  <c r="I6" i="14"/>
  <c r="I7" i="14" s="1"/>
  <c r="I8" i="14" s="1"/>
  <c r="I9" i="14" s="1"/>
  <c r="I10" i="14" s="1"/>
  <c r="I11" i="14" s="1"/>
  <c r="I12" i="14" s="1"/>
  <c r="I13" i="14" s="1"/>
  <c r="I14" i="14" s="1"/>
  <c r="H6" i="14"/>
  <c r="G6" i="14"/>
  <c r="E3" i="14"/>
  <c r="F4" i="14"/>
  <c r="E7" i="14"/>
  <c r="E8" i="14" s="1"/>
  <c r="E9" i="14" s="1"/>
  <c r="E10" i="14" s="1"/>
  <c r="E11" i="14" s="1"/>
  <c r="E12" i="14" s="1"/>
  <c r="E13" i="14" s="1"/>
  <c r="E14" i="14" s="1"/>
  <c r="E15" i="14" s="1"/>
  <c r="U17" i="20" l="1"/>
  <c r="V16" i="20" a="1"/>
  <c r="V16" i="20" s="1"/>
  <c r="AB18" i="20"/>
  <c r="AC17" i="20" a="1"/>
  <c r="AC17" i="20" s="1"/>
  <c r="AI17" i="20"/>
  <c r="AJ16" i="20" a="1"/>
  <c r="AJ16" i="20" s="1"/>
  <c r="N16" i="20"/>
  <c r="O16" i="20" s="1" a="1"/>
  <c r="O16" i="20" s="1"/>
  <c r="G7" i="14"/>
  <c r="G8" i="14" s="1"/>
  <c r="G9" i="14" s="1"/>
  <c r="G10" i="14" s="1"/>
  <c r="G11" i="14" s="1"/>
  <c r="G12" i="14" s="1"/>
  <c r="G13" i="14" s="1"/>
  <c r="G14" i="14" s="1"/>
  <c r="G15" i="14" s="1"/>
  <c r="G16" i="14" s="1"/>
  <c r="G17" i="14" s="1"/>
  <c r="G18" i="14" s="1"/>
  <c r="G19" i="14" s="1"/>
  <c r="G20" i="14" s="1"/>
  <c r="G21" i="14" s="1"/>
  <c r="G22" i="14" s="1"/>
  <c r="K6" i="14"/>
  <c r="K7" i="14" s="1"/>
  <c r="K8" i="14" s="1"/>
  <c r="K9" i="14" s="1"/>
  <c r="K10" i="14" s="1"/>
  <c r="K11" i="14" s="1"/>
  <c r="K12" i="14" s="1"/>
  <c r="K13" i="14" s="1"/>
  <c r="K14" i="14" s="1"/>
  <c r="K15" i="14" s="1"/>
  <c r="J6" i="14"/>
  <c r="J7" i="14" s="1"/>
  <c r="J8" i="14" s="1"/>
  <c r="J9" i="14" s="1"/>
  <c r="J10" i="14" s="1"/>
  <c r="J11" i="14" s="1"/>
  <c r="J12" i="14" s="1"/>
  <c r="J13" i="14" s="1"/>
  <c r="J14" i="14" s="1"/>
  <c r="J15" i="14" s="1"/>
  <c r="J16" i="14" s="1"/>
  <c r="J17" i="14" s="1"/>
  <c r="J18" i="14" s="1"/>
  <c r="J19" i="14" s="1"/>
  <c r="J20" i="14" s="1"/>
  <c r="J21" i="14" s="1"/>
  <c r="J22" i="14" s="1"/>
  <c r="L6" i="14"/>
  <c r="M6" i="14"/>
  <c r="H7" i="14"/>
  <c r="H8" i="14" s="1"/>
  <c r="H9" i="14" s="1"/>
  <c r="H10" i="14" s="1"/>
  <c r="H11" i="14" s="1"/>
  <c r="H12" i="14" s="1"/>
  <c r="H13" i="14" s="1"/>
  <c r="H14" i="14" s="1"/>
  <c r="H15" i="14" s="1"/>
  <c r="H16" i="14" s="1"/>
  <c r="E1" i="14"/>
  <c r="U18" i="20" l="1"/>
  <c r="V17" i="20" a="1"/>
  <c r="V17" i="20" s="1"/>
  <c r="AB19" i="20"/>
  <c r="AC18" i="20" a="1"/>
  <c r="AC18" i="20" s="1"/>
  <c r="AI18" i="20"/>
  <c r="AJ17" i="20" a="1"/>
  <c r="AJ17" i="20" s="1"/>
  <c r="N17" i="20"/>
  <c r="O17" i="20" s="1" a="1"/>
  <c r="O17" i="20" s="1"/>
  <c r="L7" i="14"/>
  <c r="L8" i="14" s="1"/>
  <c r="L9" i="14" s="1"/>
  <c r="L10" i="14" s="1"/>
  <c r="L11" i="14" s="1"/>
  <c r="L12" i="14" s="1"/>
  <c r="L13" i="14" s="1"/>
  <c r="L14" i="14" s="1"/>
  <c r="L15" i="14" s="1"/>
  <c r="L16" i="14" s="1"/>
  <c r="L17" i="14" s="1"/>
  <c r="L18" i="14" s="1"/>
  <c r="L19" i="14" s="1"/>
  <c r="L20" i="14" s="1"/>
  <c r="L21" i="14" s="1"/>
  <c r="L22" i="14" s="1"/>
  <c r="M7" i="14"/>
  <c r="M8" i="14" s="1"/>
  <c r="M9" i="14" s="1"/>
  <c r="M10" i="14" s="1"/>
  <c r="M11" i="14" s="1"/>
  <c r="M12" i="14" s="1"/>
  <c r="M13" i="14" s="1"/>
  <c r="M14" i="14" s="1"/>
  <c r="M15" i="14" s="1"/>
  <c r="U19" i="20" l="1"/>
  <c r="V18" i="20" a="1"/>
  <c r="V18" i="20" s="1"/>
  <c r="AB20" i="20"/>
  <c r="AC19" i="20" a="1"/>
  <c r="AC19" i="20" s="1"/>
  <c r="AI19" i="20"/>
  <c r="AJ18" i="20" a="1"/>
  <c r="AJ18" i="20" s="1"/>
  <c r="N18" i="20"/>
  <c r="O18" i="20" s="1" a="1"/>
  <c r="O18" i="20" s="1"/>
  <c r="A23" i="14"/>
  <c r="B11" i="15" s="1"/>
  <c r="U20" i="20" l="1"/>
  <c r="V19" i="20" a="1"/>
  <c r="V19" i="20" s="1"/>
  <c r="AB21" i="20"/>
  <c r="AC20" i="20" a="1"/>
  <c r="AC20" i="20" s="1"/>
  <c r="AI20" i="20"/>
  <c r="AJ19" i="20" a="1"/>
  <c r="AJ19" i="20" s="1"/>
  <c r="N19" i="20"/>
  <c r="O19" i="20" s="1" a="1"/>
  <c r="O19" i="20" s="1"/>
  <c r="U21" i="20" l="1"/>
  <c r="V20" i="20" a="1"/>
  <c r="V20" i="20" s="1"/>
  <c r="AB22" i="20"/>
  <c r="AC21" i="20" a="1"/>
  <c r="AC21" i="20" s="1"/>
  <c r="AI21" i="20"/>
  <c r="AJ20" i="20" a="1"/>
  <c r="AJ20" i="20" s="1"/>
  <c r="N20" i="20"/>
  <c r="O20" i="20" s="1" a="1"/>
  <c r="O20" i="20" s="1"/>
  <c r="U22" i="20" l="1"/>
  <c r="V21" i="20" a="1"/>
  <c r="V21" i="20" s="1"/>
  <c r="AB23" i="20"/>
  <c r="AC22" i="20" a="1"/>
  <c r="AC22" i="20" s="1"/>
  <c r="AI22" i="20"/>
  <c r="AJ21" i="20" a="1"/>
  <c r="AJ21" i="20" s="1"/>
  <c r="N21" i="20"/>
  <c r="O21" i="20" s="1" a="1"/>
  <c r="O21" i="20" s="1"/>
  <c r="U23" i="20" l="1"/>
  <c r="V22" i="20" a="1"/>
  <c r="V22" i="20" s="1"/>
  <c r="AB24" i="20"/>
  <c r="AC23" i="20" a="1"/>
  <c r="AC23" i="20" s="1"/>
  <c r="AI23" i="20"/>
  <c r="AJ22" i="20" a="1"/>
  <c r="AJ22" i="20" s="1"/>
  <c r="N22" i="20"/>
  <c r="O22" i="20" s="1" a="1"/>
  <c r="O22" i="20" s="1"/>
  <c r="U24" i="20" l="1"/>
  <c r="V23" i="20" a="1"/>
  <c r="V23" i="20" s="1"/>
  <c r="AB25" i="20"/>
  <c r="AC24" i="20" a="1"/>
  <c r="AC24" i="20" s="1"/>
  <c r="AI24" i="20"/>
  <c r="AJ23" i="20" a="1"/>
  <c r="AJ23" i="20" s="1"/>
  <c r="N23" i="20"/>
  <c r="O23" i="20" s="1" a="1"/>
  <c r="O23" i="20" s="1"/>
  <c r="U25" i="20" l="1"/>
  <c r="V24" i="20" a="1"/>
  <c r="V24" i="20" s="1"/>
  <c r="AB26" i="20"/>
  <c r="AC25" i="20" a="1"/>
  <c r="AC25" i="20" s="1"/>
  <c r="AI25" i="20"/>
  <c r="AJ24" i="20" a="1"/>
  <c r="AJ24" i="20" s="1"/>
  <c r="N24" i="20"/>
  <c r="O24" i="20" s="1" a="1"/>
  <c r="O24" i="20" s="1"/>
  <c r="U26" i="20" l="1"/>
  <c r="V25" i="20" a="1"/>
  <c r="V25" i="20" s="1"/>
  <c r="AB27" i="20"/>
  <c r="AC26" i="20" a="1"/>
  <c r="AC26" i="20" s="1"/>
  <c r="AI26" i="20"/>
  <c r="AJ25" i="20" a="1"/>
  <c r="AJ25" i="20" s="1"/>
  <c r="N25" i="20"/>
  <c r="O25" i="20" s="1" a="1"/>
  <c r="O25" i="20" s="1"/>
  <c r="U27" i="20" l="1"/>
  <c r="V26" i="20" a="1"/>
  <c r="V26" i="20" s="1"/>
  <c r="AB28" i="20"/>
  <c r="AC27" i="20" a="1"/>
  <c r="AC27" i="20" s="1"/>
  <c r="AI27" i="20"/>
  <c r="AJ26" i="20" a="1"/>
  <c r="AJ26" i="20" s="1"/>
  <c r="N26" i="20"/>
  <c r="O26" i="20" s="1" a="1"/>
  <c r="O26" i="20" s="1"/>
  <c r="U28" i="20" l="1"/>
  <c r="V27" i="20" a="1"/>
  <c r="V27" i="20" s="1"/>
  <c r="AB29" i="20"/>
  <c r="AC28" i="20" a="1"/>
  <c r="AC28" i="20" s="1"/>
  <c r="AI28" i="20"/>
  <c r="AJ27" i="20" a="1"/>
  <c r="AJ27" i="20" s="1"/>
  <c r="N27" i="20"/>
  <c r="O27" i="20" s="1" a="1"/>
  <c r="O27" i="20" s="1"/>
  <c r="U29" i="20" l="1"/>
  <c r="V28" i="20" a="1"/>
  <c r="V28" i="20" s="1"/>
  <c r="AB30" i="20"/>
  <c r="AC29" i="20" a="1"/>
  <c r="AC29" i="20" s="1"/>
  <c r="AI29" i="20"/>
  <c r="AJ28" i="20" a="1"/>
  <c r="AJ28" i="20" s="1"/>
  <c r="N28" i="20"/>
  <c r="O28" i="20" s="1" a="1"/>
  <c r="O28" i="20" s="1"/>
  <c r="U30" i="20" l="1"/>
  <c r="V29" i="20" a="1"/>
  <c r="V29" i="20" s="1"/>
  <c r="AB31" i="20"/>
  <c r="AC30" i="20" a="1"/>
  <c r="AC30" i="20" s="1"/>
  <c r="AI30" i="20"/>
  <c r="AJ29" i="20" a="1"/>
  <c r="AJ29" i="20" s="1"/>
  <c r="N29" i="20"/>
  <c r="O29" i="20" s="1" a="1"/>
  <c r="O29" i="20" s="1"/>
  <c r="U31" i="20" l="1"/>
  <c r="V30" i="20" a="1"/>
  <c r="V30" i="20" s="1"/>
  <c r="AB32" i="20"/>
  <c r="AC31" i="20" a="1"/>
  <c r="AC31" i="20" s="1"/>
  <c r="AI31" i="20"/>
  <c r="AJ30" i="20" a="1"/>
  <c r="AJ30" i="20" s="1"/>
  <c r="N30" i="20"/>
  <c r="O30" i="20" s="1" a="1"/>
  <c r="O30" i="20" s="1"/>
  <c r="U32" i="20" l="1"/>
  <c r="V31" i="20" a="1"/>
  <c r="V31" i="20" s="1"/>
  <c r="AB33" i="20"/>
  <c r="AC32" i="20" a="1"/>
  <c r="AC32" i="20" s="1"/>
  <c r="AI32" i="20"/>
  <c r="AJ31" i="20" a="1"/>
  <c r="AJ31" i="20" s="1"/>
  <c r="N31" i="20"/>
  <c r="O31" i="20" s="1" a="1"/>
  <c r="O31" i="20" s="1"/>
  <c r="U33" i="20" l="1"/>
  <c r="V32" i="20" a="1"/>
  <c r="V32" i="20" s="1"/>
  <c r="AB34" i="20"/>
  <c r="AC33" i="20" a="1"/>
  <c r="AC33" i="20" s="1"/>
  <c r="AI33" i="20"/>
  <c r="AJ32" i="20" a="1"/>
  <c r="AJ32" i="20" s="1"/>
  <c r="N32" i="20"/>
  <c r="O32" i="20" s="1" a="1"/>
  <c r="O32" i="20" s="1"/>
  <c r="U34" i="20" l="1"/>
  <c r="V33" i="20" a="1"/>
  <c r="V33" i="20" s="1"/>
  <c r="AB35" i="20"/>
  <c r="AC34" i="20" a="1"/>
  <c r="AC34" i="20" s="1"/>
  <c r="AI34" i="20"/>
  <c r="AJ33" i="20" a="1"/>
  <c r="AJ33" i="20" s="1"/>
  <c r="N33" i="20"/>
  <c r="O33" i="20" s="1" a="1"/>
  <c r="O33" i="20" s="1"/>
  <c r="U35" i="20" l="1"/>
  <c r="V34" i="20" a="1"/>
  <c r="V34" i="20" s="1"/>
  <c r="AB36" i="20"/>
  <c r="AC35" i="20" a="1"/>
  <c r="AC35" i="20" s="1"/>
  <c r="AI35" i="20"/>
  <c r="AJ34" i="20" a="1"/>
  <c r="AJ34" i="20" s="1"/>
  <c r="N34" i="20"/>
  <c r="O34" i="20" s="1" a="1"/>
  <c r="O34" i="20" s="1"/>
  <c r="U36" i="20" l="1"/>
  <c r="V35" i="20" a="1"/>
  <c r="V35" i="20" s="1"/>
  <c r="AB37" i="20"/>
  <c r="AC36" i="20" a="1"/>
  <c r="AC36" i="20" s="1"/>
  <c r="AI36" i="20"/>
  <c r="AJ35" i="20" a="1"/>
  <c r="AJ35" i="20" s="1"/>
  <c r="N35" i="20"/>
  <c r="O35" i="20" s="1" a="1"/>
  <c r="O35" i="20" s="1"/>
  <c r="U37" i="20" l="1"/>
  <c r="V36" i="20" a="1"/>
  <c r="V36" i="20" s="1"/>
  <c r="AB38" i="20"/>
  <c r="AC37" i="20" a="1"/>
  <c r="AC37" i="20" s="1"/>
  <c r="AI37" i="20"/>
  <c r="AJ36" i="20" a="1"/>
  <c r="AJ36" i="20" s="1"/>
  <c r="N36" i="20"/>
  <c r="O36" i="20" s="1" a="1"/>
  <c r="O36" i="20" s="1"/>
  <c r="U38" i="20" l="1"/>
  <c r="V37" i="20" a="1"/>
  <c r="V37" i="20" s="1"/>
  <c r="AB39" i="20"/>
  <c r="AC38" i="20" a="1"/>
  <c r="AC38" i="20" s="1"/>
  <c r="AI38" i="20"/>
  <c r="AJ37" i="20" a="1"/>
  <c r="AJ37" i="20" s="1"/>
  <c r="N37" i="20"/>
  <c r="O37" i="20" s="1" a="1"/>
  <c r="O37" i="20" s="1"/>
  <c r="U39" i="20" l="1"/>
  <c r="V38" i="20" a="1"/>
  <c r="V38" i="20" s="1"/>
  <c r="AB40" i="20"/>
  <c r="AC39" i="20" a="1"/>
  <c r="AC39" i="20" s="1"/>
  <c r="AI39" i="20"/>
  <c r="AJ38" i="20" a="1"/>
  <c r="AJ38" i="20" s="1"/>
  <c r="N38" i="20"/>
  <c r="O38" i="20" s="1" a="1"/>
  <c r="O38" i="20" s="1"/>
  <c r="U40" i="20" l="1"/>
  <c r="V39" i="20" a="1"/>
  <c r="V39" i="20" s="1"/>
  <c r="AB41" i="20"/>
  <c r="AC40" i="20" a="1"/>
  <c r="AC40" i="20" s="1"/>
  <c r="AI40" i="20"/>
  <c r="AJ39" i="20" a="1"/>
  <c r="AJ39" i="20" s="1"/>
  <c r="N39" i="20"/>
  <c r="O39" i="20" s="1" a="1"/>
  <c r="O39" i="20" s="1"/>
  <c r="U41" i="20" l="1"/>
  <c r="V40" i="20" a="1"/>
  <c r="V40" i="20" s="1"/>
  <c r="AB42" i="20"/>
  <c r="AC41" i="20" a="1"/>
  <c r="AC41" i="20" s="1"/>
  <c r="AI41" i="20"/>
  <c r="AJ40" i="20" a="1"/>
  <c r="AJ40" i="20" s="1"/>
  <c r="N40" i="20"/>
  <c r="O40" i="20" s="1" a="1"/>
  <c r="O40" i="20" s="1"/>
  <c r="U42" i="20" l="1"/>
  <c r="V41" i="20" a="1"/>
  <c r="V41" i="20" s="1"/>
  <c r="AB43" i="20"/>
  <c r="AC42" i="20" a="1"/>
  <c r="AC42" i="20" s="1"/>
  <c r="AI42" i="20"/>
  <c r="AJ41" i="20" a="1"/>
  <c r="AJ41" i="20" s="1"/>
  <c r="N41" i="20"/>
  <c r="O41" i="20" s="1" a="1"/>
  <c r="O41" i="20" s="1"/>
  <c r="U43" i="20" l="1"/>
  <c r="V42" i="20" a="1"/>
  <c r="V42" i="20" s="1"/>
  <c r="AB44" i="20"/>
  <c r="AC43" i="20" a="1"/>
  <c r="AC43" i="20" s="1"/>
  <c r="AI43" i="20"/>
  <c r="AJ42" i="20" a="1"/>
  <c r="AJ42" i="20" s="1"/>
  <c r="N42" i="20"/>
  <c r="O42" i="20" s="1" a="1"/>
  <c r="O42" i="20" s="1"/>
  <c r="U44" i="20" l="1"/>
  <c r="V43" i="20" a="1"/>
  <c r="V43" i="20" s="1"/>
  <c r="AB45" i="20"/>
  <c r="AC44" i="20" a="1"/>
  <c r="AC44" i="20" s="1"/>
  <c r="AI44" i="20"/>
  <c r="AJ43" i="20" a="1"/>
  <c r="AJ43" i="20" s="1"/>
  <c r="N43" i="20"/>
  <c r="O43" i="20" s="1" a="1"/>
  <c r="O43" i="20" s="1"/>
  <c r="U45" i="20" l="1"/>
  <c r="V44" i="20" a="1"/>
  <c r="V44" i="20" s="1"/>
  <c r="AB46" i="20"/>
  <c r="AC46" i="20" s="1" a="1"/>
  <c r="AC46" i="20" s="1"/>
  <c r="AC45" i="20" a="1"/>
  <c r="AC45" i="20" s="1"/>
  <c r="AI45" i="20"/>
  <c r="AJ44" i="20" a="1"/>
  <c r="AJ44" i="20" s="1"/>
  <c r="N44" i="20"/>
  <c r="O44" i="20" s="1" a="1"/>
  <c r="O44" i="20" s="1"/>
  <c r="U46" i="20" l="1"/>
  <c r="V46" i="20" s="1" a="1"/>
  <c r="V46" i="20" s="1"/>
  <c r="V45" i="20" a="1"/>
  <c r="V45" i="20" s="1"/>
  <c r="AI46" i="20"/>
  <c r="AJ46" i="20" s="1" a="1"/>
  <c r="AJ46" i="20" s="1"/>
  <c r="AJ45" i="20" a="1"/>
  <c r="AJ45" i="20" s="1"/>
  <c r="N45" i="20"/>
  <c r="O45" i="20" s="1" a="1"/>
  <c r="O45" i="20" s="1"/>
  <c r="N46" i="20" l="1"/>
  <c r="O46" i="20" s="1" a="1"/>
  <c r="O46" i="20" s="1"/>
  <c r="C17" i="21" l="1"/>
  <c r="C18" i="21"/>
  <c r="C20" i="21"/>
  <c r="C1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FS. Henriques</author>
    <author>CI</author>
  </authors>
  <commentList>
    <comment ref="B3" authorId="0" shapeId="0" xr:uid="{00000000-0006-0000-0000-000001000000}">
      <text>
        <r>
          <rPr>
            <sz val="9"/>
            <color indexed="81"/>
            <rFont val="Tahoma"/>
            <family val="2"/>
          </rPr>
          <t>Na folha/separador 'Dados mestre' poderá alterar o ano económico.</t>
        </r>
      </text>
    </comment>
    <comment ref="C5" authorId="0" shapeId="0" xr:uid="{00000000-0006-0000-0000-000002000000}">
      <text>
        <r>
          <rPr>
            <sz val="9"/>
            <color indexed="81"/>
            <rFont val="Tahoma"/>
            <family val="2"/>
          </rPr>
          <t>N.º sequencial da entidade emissora.</t>
        </r>
      </text>
    </comment>
    <comment ref="E7" authorId="0" shapeId="0" xr:uid="{00000000-0006-0000-0000-000003000000}">
      <text>
        <r>
          <rPr>
            <sz val="9"/>
            <color indexed="81"/>
            <rFont val="Tahoma"/>
            <family val="2"/>
          </rPr>
          <t>Nome da Entitade que gerou a receita (escolha da lista), após o que serão automaticamente preenchidos o código e nome do Departamento e o código da Entidade (AAF).</t>
        </r>
      </text>
    </comment>
    <comment ref="C9" authorId="1" shapeId="0" xr:uid="{00000000-0006-0000-0000-000004000000}">
      <text>
        <r>
          <rPr>
            <sz val="8"/>
            <color indexed="81"/>
            <rFont val="Tahoma"/>
            <family val="2"/>
          </rPr>
          <t>Utilize esta célula para introdução do nome do devedor.</t>
        </r>
      </text>
    </comment>
    <comment ref="I9" authorId="0" shapeId="0" xr:uid="{E456EB5D-37A3-4B28-B241-03BF210167C6}">
      <text>
        <r>
          <rPr>
            <sz val="9"/>
            <color indexed="81"/>
            <rFont val="Tahoma"/>
            <family val="2"/>
          </rPr>
          <t xml:space="preserve">Introduza o NIF/NIPC do devedor.
</t>
        </r>
      </text>
    </comment>
    <comment ref="B11" authorId="0" shapeId="0" xr:uid="{00000000-0006-0000-0000-000006000000}">
      <text>
        <r>
          <rPr>
            <sz val="9"/>
            <color indexed="81"/>
            <rFont val="Tahoma"/>
            <family val="2"/>
          </rPr>
          <t>Pode alterar a Tesouraria/Serviço de Caixa na folha/separador "Dados mestre".
O extenso é automático e aparece quando valor for &gt; 0,00€.</t>
        </r>
      </text>
    </comment>
    <comment ref="B15" authorId="1" shapeId="0" xr:uid="{00000000-0006-0000-0000-000007000000}">
      <text>
        <r>
          <rPr>
            <sz val="8"/>
            <color indexed="81"/>
            <rFont val="Tahoma"/>
            <family val="2"/>
          </rPr>
          <t>Utilize este campo para esclarecer a proveniência/base legal da receita.</t>
        </r>
      </text>
    </comment>
    <comment ref="G19" authorId="0" shapeId="0" xr:uid="{B4A3DDF6-AC52-4D87-8CAE-F68E093D7B00}">
      <text>
        <r>
          <rPr>
            <sz val="9"/>
            <color indexed="81"/>
            <rFont val="Tahoma"/>
            <family val="2"/>
          </rPr>
          <t>As designações do Grupo, Artigo, Subartigo e Rubrica, são de preenchimento automático de acordo com a designação da Receita escolhida.</t>
        </r>
      </text>
    </comment>
    <comment ref="B20" authorId="0" shapeId="0" xr:uid="{136A17A8-340C-480D-93B3-D2151A2CBD8B}">
      <text>
        <r>
          <rPr>
            <sz val="9"/>
            <color indexed="81"/>
            <rFont val="Tahoma"/>
            <family val="2"/>
          </rPr>
          <t>Escolha da lista o Capítulo e depois a Designação pretendida.</t>
        </r>
      </text>
    </comment>
    <comment ref="G21" authorId="0" shapeId="0" xr:uid="{DFBD2E6F-1C63-48E9-BDA6-A1305C292B63}">
      <text>
        <r>
          <rPr>
            <sz val="9"/>
            <color indexed="81"/>
            <rFont val="Tahoma"/>
            <family val="2"/>
          </rPr>
          <t>Depois de preencher o Capítulo, escolha da lista a designação da receita pretendida.</t>
        </r>
      </text>
    </comment>
    <comment ref="B33" authorId="0" shapeId="0" xr:uid="{00000000-0006-0000-0000-00000D000000}">
      <text>
        <r>
          <rPr>
            <sz val="9"/>
            <color indexed="81"/>
            <rFont val="Tahoma"/>
            <family val="2"/>
          </rPr>
          <t>Se precisa de uma data diferente, na folha/separador 'Dados mestre' poderá alterá-la.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FS. Henriques</author>
  </authors>
  <commentList>
    <comment ref="O10" authorId="0" shapeId="0" xr:uid="{00000000-0006-0000-0100-000001000000}">
      <text>
        <r>
          <rPr>
            <sz val="9"/>
            <color indexed="81"/>
            <rFont val="Tahoma"/>
            <family val="2"/>
          </rPr>
          <t xml:space="preserve">Até ao final de 2022 mantém-se, nos termos da lei, a expressão orçamental anterior à última alteração orgânica.
</t>
        </r>
      </text>
    </comment>
    <comment ref="D22" authorId="0" shapeId="0" xr:uid="{00000000-0006-0000-0100-000002000000}">
      <text>
        <r>
          <rPr>
            <sz val="9"/>
            <color indexed="81"/>
            <rFont val="Tahoma"/>
            <family val="2"/>
          </rPr>
          <t>Até ao final de 2022 mantém-se, nos termos da lei, a expressão orçamental anterior à última alteração orgânica.</t>
        </r>
        <r>
          <rPr>
            <b/>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<sst xmlns="http://schemas.openxmlformats.org/spreadsheetml/2006/main" count="4134" uniqueCount="1094">
  <si>
    <t>REGIÃO AUTÓNOMA DOS AÇORES</t>
  </si>
  <si>
    <t>Grupo</t>
  </si>
  <si>
    <t>Artigo</t>
  </si>
  <si>
    <t>DESIGNAÇÃO</t>
  </si>
  <si>
    <t>(c)</t>
  </si>
  <si>
    <t>Guia n.º</t>
  </si>
  <si>
    <t xml:space="preserve">(b) </t>
  </si>
  <si>
    <t>T O T A L</t>
  </si>
  <si>
    <t>Milhões:</t>
  </si>
  <si>
    <t>Milhares:</t>
  </si>
  <si>
    <t>Unidades:</t>
  </si>
  <si>
    <t xml:space="preserve">proveniente de: </t>
  </si>
  <si>
    <t>EUROS:</t>
  </si>
  <si>
    <t>Cêntimos</t>
  </si>
  <si>
    <t>S/a</t>
  </si>
  <si>
    <t>Tesouraria:</t>
  </si>
  <si>
    <t>RECEITA</t>
  </si>
  <si>
    <t xml:space="preserve">N.º </t>
  </si>
  <si>
    <t>(a)</t>
  </si>
  <si>
    <t>que deverá ser escriturada como se segue:</t>
  </si>
  <si>
    <t>Recebi a importância constante desta Guia.</t>
  </si>
  <si>
    <t xml:space="preserve">Vai </t>
  </si>
  <si>
    <t>NIF:</t>
  </si>
  <si>
    <t>IRC</t>
  </si>
  <si>
    <t>IRS</t>
  </si>
  <si>
    <t>CGA</t>
  </si>
  <si>
    <t>Central</t>
  </si>
  <si>
    <t>da Horta</t>
  </si>
  <si>
    <t>de Angra do Heroísmo</t>
  </si>
  <si>
    <t>de Ponta Delgada</t>
  </si>
  <si>
    <t>AAF</t>
  </si>
  <si>
    <t>Organismo</t>
  </si>
  <si>
    <t>Departamento</t>
  </si>
  <si>
    <t>Datas:</t>
  </si>
  <si>
    <t>Organismo emissor (entidade que gerou a receita):</t>
  </si>
  <si>
    <t>Cód.</t>
  </si>
  <si>
    <t>01</t>
  </si>
  <si>
    <t>02</t>
  </si>
  <si>
    <t>03</t>
  </si>
  <si>
    <t>04</t>
  </si>
  <si>
    <t>05</t>
  </si>
  <si>
    <t>06</t>
  </si>
  <si>
    <t>07</t>
  </si>
  <si>
    <t>08</t>
  </si>
  <si>
    <t>09</t>
  </si>
  <si>
    <t>10</t>
  </si>
  <si>
    <t>Departamento governamental:</t>
  </si>
  <si>
    <t>Cód. Dep.</t>
  </si>
  <si>
    <t>A001</t>
  </si>
  <si>
    <t>A002</t>
  </si>
  <si>
    <t>A003</t>
  </si>
  <si>
    <t>A004</t>
  </si>
  <si>
    <t>A005</t>
  </si>
  <si>
    <t>A006</t>
  </si>
  <si>
    <t>A007</t>
  </si>
  <si>
    <t>A010</t>
  </si>
  <si>
    <t>A011</t>
  </si>
  <si>
    <t>A012</t>
  </si>
  <si>
    <t>A014</t>
  </si>
  <si>
    <t>A015</t>
  </si>
  <si>
    <t>A016</t>
  </si>
  <si>
    <t>A017</t>
  </si>
  <si>
    <t>A018</t>
  </si>
  <si>
    <t>A019</t>
  </si>
  <si>
    <t>A020</t>
  </si>
  <si>
    <t>A021</t>
  </si>
  <si>
    <t>A023</t>
  </si>
  <si>
    <t>A024</t>
  </si>
  <si>
    <t>A025</t>
  </si>
  <si>
    <t>A026</t>
  </si>
  <si>
    <t>A027</t>
  </si>
  <si>
    <t>A028</t>
  </si>
  <si>
    <t>A029</t>
  </si>
  <si>
    <t>A030</t>
  </si>
  <si>
    <t>A031</t>
  </si>
  <si>
    <t>A033</t>
  </si>
  <si>
    <t>A034</t>
  </si>
  <si>
    <t>A036</t>
  </si>
  <si>
    <t>A037</t>
  </si>
  <si>
    <t>A038</t>
  </si>
  <si>
    <t>A039</t>
  </si>
  <si>
    <t>A040</t>
  </si>
  <si>
    <t>A041</t>
  </si>
  <si>
    <t>A501</t>
  </si>
  <si>
    <t>A502</t>
  </si>
  <si>
    <t>A503</t>
  </si>
  <si>
    <t>A504</t>
  </si>
  <si>
    <t>A505</t>
  </si>
  <si>
    <t>A506</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</si>
  <si>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</si>
  <si>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</si>
  <si>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</si>
  <si>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</si>
  <si>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</si>
  <si>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</si>
  <si>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</si>
  <si>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</si>
  <si>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</si>
  <si>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</si>
  <si>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</si>
  <si>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</si>
  <si>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</si>
  <si>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</si>
  <si>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</si>
  <si>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</si>
  <si>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</si>
  <si>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</si>
  <si>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</si>
  <si>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</si>
  <si>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</si>
  <si>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</si>
  <si>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</si>
  <si>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</si>
  <si>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</si>
  <si>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</si>
  <si>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</si>
  <si>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</si>
  <si>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</si>
  <si>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</si>
  <si>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</si>
  <si>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</si>
  <si>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</si>
  <si>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</si>
  <si>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</si>
  <si>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</si>
  <si>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</si>
  <si>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</si>
  <si>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</si>
  <si>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</si>
  <si>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</si>
  <si>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Tesouraria Central - (ECR)</t>
  </si>
  <si>
    <t>Direção Regional do Desenvolvimento Rural</t>
  </si>
  <si>
    <t>Direção Regional da Energia</t>
  </si>
  <si>
    <t>Direção Regional do Turismo</t>
  </si>
  <si>
    <t>Direção Regional da Saúde</t>
  </si>
  <si>
    <t>Serviço Regional de Proteção Civil e Bombeiros dos Açores</t>
  </si>
  <si>
    <t>Direção Regional das Pescas</t>
  </si>
  <si>
    <t>Direção Regional do Desporto</t>
  </si>
  <si>
    <t>Direção Regional da Solidariedade Social</t>
  </si>
  <si>
    <t>Direção Regional do Orçamento e Tesouro</t>
  </si>
  <si>
    <t>Direção Regional do Planeamento e Fundos Estruturais</t>
  </si>
  <si>
    <t>Fundo Regional do Emprego</t>
  </si>
  <si>
    <t>Direção Regional das Comunidades</t>
  </si>
  <si>
    <t>Direção Regional da Juventude</t>
  </si>
  <si>
    <t>Fundo Escolar da Escola Básica e Secundária Mouzinho da Silveira</t>
  </si>
  <si>
    <t>Fundo Escolar da Escola Básica e Secundária das Flores</t>
  </si>
  <si>
    <t>Fundo Escolar da Escola Secundária Manuel de Arriaga</t>
  </si>
  <si>
    <t>Fundo Escolar da Escola Básica e Secundária da Madalena</t>
  </si>
  <si>
    <t>Fundo Escolar da Escola Básica e Secundária de São Roque do Pico</t>
  </si>
  <si>
    <t>Fundo Escolar da Escola Básica e Secundária das Lajes do Pico</t>
  </si>
  <si>
    <t>Fundo Escolar da Escola Básica e Secundária de Velas</t>
  </si>
  <si>
    <t>Fundo Escolar da Escola Básica Integrada da Vila do Topo</t>
  </si>
  <si>
    <t>Fundo Escolar da Escola Básica Integrada da Horta</t>
  </si>
  <si>
    <t>Fundo Escolar da Escola Básica Integrada dos Biscoitos</t>
  </si>
  <si>
    <t>Fundo Escolar da Escola Básica Integrada da Praia da Vitória</t>
  </si>
  <si>
    <t>Fundo Escolar da Escola Secundária Vitorino Nemésio</t>
  </si>
  <si>
    <t>Fundo Escolar da Escola Básica e Secundária Tomás de Borba</t>
  </si>
  <si>
    <t>Fundo Escolar da Escola Básica Integrada de Angra do Heroísmo</t>
  </si>
  <si>
    <t>Fundo Escolar da Escola Secundária Jerónimo Emiliano de Andrade</t>
  </si>
  <si>
    <t>Fundo Escolar da Escola Básica Integrada Francisco Ferreira Drummond</t>
  </si>
  <si>
    <t>Fundo Escolar da Escola Básica e Secundária da Graciosa</t>
  </si>
  <si>
    <t>Fundo Escolar da Escola Básica Integrada de Ginetes</t>
  </si>
  <si>
    <t>Fundo Escolar da Escola Básica Integrada de Rabo de Peixe</t>
  </si>
  <si>
    <t>Fundo Escolar da Escola Secundária da Ribeira Grande</t>
  </si>
  <si>
    <t>Fundo Escolar da Escola Básica Integrada de Ribeira Grande</t>
  </si>
  <si>
    <t>Fundo Escolar da Escola Básica Integrada da Maia</t>
  </si>
  <si>
    <t>Fundo Escolar da Escola Básica e Secundária do Nordeste</t>
  </si>
  <si>
    <t>Fundo Escolar da Escola Básica Integrada de Ponta Garça</t>
  </si>
  <si>
    <t>Fundo Escolar da Escola Básica Integrada de Água de Pau</t>
  </si>
  <si>
    <t>Fundo Escolar da Escola Básica Integrada de Lagoa</t>
  </si>
  <si>
    <t>Fundo Escolar da Escola Secundária de Lagoa</t>
  </si>
  <si>
    <t>Fundo Escolar da Escola Secundária das Laranjeiras</t>
  </si>
  <si>
    <t>Fundo Escolar da Escola Secundária Antero Quental</t>
  </si>
  <si>
    <t>Fundo Escolar da Escola Básica Integrada Canto da Maia</t>
  </si>
  <si>
    <t>Fundo Escolar da Escola Secundária Domingos Rebelo</t>
  </si>
  <si>
    <t>Fundo Escolar da Escola Básica Integrada de Arrifes</t>
  </si>
  <si>
    <t>Fundo Escolar do Conservatório Regional de Ponta Delgada</t>
  </si>
  <si>
    <t>Fundo Escolar da Escola Básica e Secundária da Povoação</t>
  </si>
  <si>
    <t>Fundo Escolar da Escola Básica e Secundária da Calheta</t>
  </si>
  <si>
    <t>Fundo Escolar da Escola Básica Integrada Roberto Ivens</t>
  </si>
  <si>
    <t xml:space="preserve">Fundo Escolar da Escola Básica e Secundária de de Santa Maria </t>
  </si>
  <si>
    <t>Fundo Escolar da Escola Básica Integrada da Vila de Capelas</t>
  </si>
  <si>
    <t xml:space="preserve">(c) Código e designação do Organismo (ex: A023 - DRComunidades). </t>
  </si>
  <si>
    <t>Tesouraria</t>
  </si>
  <si>
    <t>Tesouraria que procederá à cobrança:</t>
  </si>
  <si>
    <t>Cod.</t>
  </si>
  <si>
    <t>CF</t>
  </si>
  <si>
    <t>A000001</t>
  </si>
  <si>
    <t>A000931</t>
  </si>
  <si>
    <t>A001-DROT</t>
  </si>
  <si>
    <t>A000932</t>
  </si>
  <si>
    <t>A000933</t>
  </si>
  <si>
    <t>A003-SREA</t>
  </si>
  <si>
    <t>A000934</t>
  </si>
  <si>
    <t>A000935</t>
  </si>
  <si>
    <t>A000936</t>
  </si>
  <si>
    <t>A000937</t>
  </si>
  <si>
    <t>A007-DRS</t>
  </si>
  <si>
    <t>A000938</t>
  </si>
  <si>
    <t>A000939</t>
  </si>
  <si>
    <t>A000940</t>
  </si>
  <si>
    <t>A000941</t>
  </si>
  <si>
    <t>A000942</t>
  </si>
  <si>
    <t>A015-DRSS</t>
  </si>
  <si>
    <t>A000943</t>
  </si>
  <si>
    <t>A016-DRH</t>
  </si>
  <si>
    <t>A000944</t>
  </si>
  <si>
    <t>A000945</t>
  </si>
  <si>
    <t>A018-DREnergia</t>
  </si>
  <si>
    <t>A000946</t>
  </si>
  <si>
    <t>A019-DRTurismo</t>
  </si>
  <si>
    <t>A000947</t>
  </si>
  <si>
    <t>A000948</t>
  </si>
  <si>
    <t>A021-SGP</t>
  </si>
  <si>
    <t>A000949</t>
  </si>
  <si>
    <t>A023-DRComunidades</t>
  </si>
  <si>
    <t>A000950</t>
  </si>
  <si>
    <t>A000951</t>
  </si>
  <si>
    <t>A000952</t>
  </si>
  <si>
    <t>A026-DRP</t>
  </si>
  <si>
    <t>A000953</t>
  </si>
  <si>
    <t>A000954</t>
  </si>
  <si>
    <t>A000955</t>
  </si>
  <si>
    <t>A000956</t>
  </si>
  <si>
    <t>A000957</t>
  </si>
  <si>
    <t>A031-DRCultura</t>
  </si>
  <si>
    <t>A000959</t>
  </si>
  <si>
    <t>A033-DRJ</t>
  </si>
  <si>
    <t>A000960</t>
  </si>
  <si>
    <t>A034-DRD</t>
  </si>
  <si>
    <t>A000961</t>
  </si>
  <si>
    <t>A000962</t>
  </si>
  <si>
    <t>A000963</t>
  </si>
  <si>
    <t>A000964</t>
  </si>
  <si>
    <t>A000965</t>
  </si>
  <si>
    <t>A041-DRPCD</t>
  </si>
  <si>
    <t>A000998</t>
  </si>
  <si>
    <t>RAA-SFA</t>
  </si>
  <si>
    <t>A000999</t>
  </si>
  <si>
    <t>RAA-OUTROS</t>
  </si>
  <si>
    <t>Alterar a data da guia:</t>
  </si>
  <si>
    <t>Alterar o Ano Económico:</t>
  </si>
  <si>
    <t>(a) Numeração especial/sequencial do organismo.         (b) Código e designação do Departamento (ex: 02 - Presidência do Governo).</t>
  </si>
  <si>
    <t>Local</t>
  </si>
  <si>
    <t>Escola Básica e Secundária da Calheta</t>
  </si>
  <si>
    <t>Escola Básica e Secundária da Graciosa</t>
  </si>
  <si>
    <t>Escola Básica e Secundária da Madalena</t>
  </si>
  <si>
    <t>Escola Básica e Secundária da Povoação</t>
  </si>
  <si>
    <t>Escola Básica e Secundária das Flores</t>
  </si>
  <si>
    <t>Escola Básica e Secundária das Lajes do Pico</t>
  </si>
  <si>
    <t xml:space="preserve">Escola Básica e Secundária de de Santa Maria </t>
  </si>
  <si>
    <t>Escola Básica e Secundária de São Roque do Pico</t>
  </si>
  <si>
    <t>Escola Básica e Secundária de Velas</t>
  </si>
  <si>
    <t>Escola Básica e Secundária de Vila Franca do Campo</t>
  </si>
  <si>
    <t>Escola Básica e Secundária do Nordeste</t>
  </si>
  <si>
    <t>Escola Básica e Secundária Mouzinho da Silveira</t>
  </si>
  <si>
    <t>Escola Básica e Secundária Tomás de Borba</t>
  </si>
  <si>
    <t>Escola Básica Integrada Canto da Maia</t>
  </si>
  <si>
    <t>Escola Básica Integrada da Horta</t>
  </si>
  <si>
    <t>Escola Básica Integrada da Maia</t>
  </si>
  <si>
    <t>Escola Básica Integrada da Praia da Vitória</t>
  </si>
  <si>
    <t>Escola Básica Integrada da Vila de Capelas</t>
  </si>
  <si>
    <t>Escola Básica Integrada da Vila do Topo</t>
  </si>
  <si>
    <t>Escola Básica Integrada de Água de Pau</t>
  </si>
  <si>
    <t>Escola Básica Integrada de Angra do Heroísmo</t>
  </si>
  <si>
    <t>Escola Básica Integrada de Arrifes</t>
  </si>
  <si>
    <t>Escola Básica Integrada de Ginetes</t>
  </si>
  <si>
    <t>Escola Básica Integrada de Lagoa</t>
  </si>
  <si>
    <t>Escola Básica Integrada de Ponta Garça</t>
  </si>
  <si>
    <t>Escola Básica Integrada de Rabo de Peixe</t>
  </si>
  <si>
    <t>Escola Básica Integrada de Ribeira Grande</t>
  </si>
  <si>
    <t>Escola Básica Integrada dos Biscoitos</t>
  </si>
  <si>
    <t>Escola Básica Integrada Francisco Ferreira Drummond</t>
  </si>
  <si>
    <t>Escola Básica Integrada Roberto Ivens</t>
  </si>
  <si>
    <t>Escola Secundária Antero Quental</t>
  </si>
  <si>
    <t>Escola Secundária da Ribeira Grande</t>
  </si>
  <si>
    <t>Escola Secundária das Laranjeiras</t>
  </si>
  <si>
    <t>Escola Secundária de Lagoa</t>
  </si>
  <si>
    <t>Escola Secundária Domingos Rebelo</t>
  </si>
  <si>
    <t>Escola Secundária Jerónimo Emiliano de Andrade</t>
  </si>
  <si>
    <t>Escola Secundária Manuel de Arriaga</t>
  </si>
  <si>
    <t>Escola Secundária Vitorino Nemésio</t>
  </si>
  <si>
    <t>Conservatório Regional de Ponta Delgada</t>
  </si>
  <si>
    <r>
      <rPr>
        <sz val="9"/>
        <rFont val="Arial"/>
        <family val="2"/>
      </rPr>
      <t>formato:</t>
    </r>
    <r>
      <rPr>
        <i/>
        <sz val="9"/>
        <rFont val="Arial"/>
        <family val="2"/>
      </rPr>
      <t xml:space="preserve"> dd/mm/aaaa</t>
    </r>
  </si>
  <si>
    <r>
      <rPr>
        <sz val="9"/>
        <rFont val="Arial"/>
        <family val="2"/>
      </rPr>
      <t>formato:</t>
    </r>
    <r>
      <rPr>
        <i/>
        <sz val="9"/>
        <rFont val="Arial"/>
        <family val="2"/>
      </rPr>
      <t xml:space="preserve"> aaaa</t>
    </r>
  </si>
  <si>
    <t>O/A Tesoureiro(a)</t>
  </si>
  <si>
    <t>_____________________________________________</t>
  </si>
  <si>
    <t>Fundo Regional da Ciência</t>
  </si>
  <si>
    <t>11</t>
  </si>
  <si>
    <t>Assembleia Legislativa Regional</t>
  </si>
  <si>
    <t>12</t>
  </si>
  <si>
    <t>13</t>
  </si>
  <si>
    <t>Direção Regional da Habitação</t>
  </si>
  <si>
    <t>Direção Regional para a Promoção da Igualdade e Inclusão Social</t>
  </si>
  <si>
    <t>Direção Regional da Cooperação com o Poder Local</t>
  </si>
  <si>
    <t>Inspeção Administrativa e da Transparência</t>
  </si>
  <si>
    <t>Inspeção Regional da Educação</t>
  </si>
  <si>
    <t>Direção Regional da Prevenção e Combate às Dependências</t>
  </si>
  <si>
    <t>Inspeção Regional da Saúde</t>
  </si>
  <si>
    <t>IAMA</t>
  </si>
  <si>
    <t>Fundo de Pesca</t>
  </si>
  <si>
    <t>ERSARA</t>
  </si>
  <si>
    <t>Direção Regional da Qualificação Profissional e Emprego</t>
  </si>
  <si>
    <t>Inspeção Regional das Atividades Económicas</t>
  </si>
  <si>
    <t>Inspeção Regional do Trabalho</t>
  </si>
  <si>
    <t>Laboratório Regional de Engenharia Civil</t>
  </si>
  <si>
    <t>A081</t>
  </si>
  <si>
    <t>A082</t>
  </si>
  <si>
    <t>Gabinete SRFPAP - Inspeção Administrativa e da Transparência</t>
  </si>
  <si>
    <t>A083</t>
  </si>
  <si>
    <t>Gabinete SRAAC - Inspeção Regional do Ambiente</t>
  </si>
  <si>
    <t>A087</t>
  </si>
  <si>
    <t>A089</t>
  </si>
  <si>
    <t>Presidência do Governo Regional - Secretaria Geral da Presidência</t>
  </si>
  <si>
    <t>Serviço Regional de Estatística dos Açores</t>
  </si>
  <si>
    <t>A010-GSRFPAP</t>
  </si>
  <si>
    <t>A012-DRQPE</t>
  </si>
  <si>
    <t>A014-GVPGR</t>
  </si>
  <si>
    <t>A025-DRDR</t>
  </si>
  <si>
    <t>A027-DRAAC</t>
  </si>
  <si>
    <t>A037-GSRMP</t>
  </si>
  <si>
    <t>A040-GSRAAC</t>
  </si>
  <si>
    <t>A000966</t>
  </si>
  <si>
    <t>A000967</t>
  </si>
  <si>
    <t>A000968</t>
  </si>
  <si>
    <t>A000972</t>
  </si>
  <si>
    <t>A000974</t>
  </si>
  <si>
    <t>A000-RAA</t>
  </si>
  <si>
    <t>A002-DRPFE</t>
  </si>
  <si>
    <t>99</t>
  </si>
  <si>
    <t>17</t>
  </si>
  <si>
    <t>98</t>
  </si>
  <si>
    <t>97</t>
  </si>
  <si>
    <t>86</t>
  </si>
  <si>
    <t>81</t>
  </si>
  <si>
    <t>77</t>
  </si>
  <si>
    <t>74</t>
  </si>
  <si>
    <t>70</t>
  </si>
  <si>
    <t>69</t>
  </si>
  <si>
    <t>68</t>
  </si>
  <si>
    <t>66</t>
  </si>
  <si>
    <t xml:space="preserve">REBUILD17                                 </t>
  </si>
  <si>
    <t>Direção Regional das Comunicações e Transição Digital</t>
  </si>
  <si>
    <t>Direção Regional do Empreendedorismo e Competitividade</t>
  </si>
  <si>
    <t>Direção Regional de Obras Públicas</t>
  </si>
  <si>
    <t>Direção Regional de Organização, Planeamento e Emprego Público</t>
  </si>
  <si>
    <t>Direção Regional de Políticas Maritimas</t>
  </si>
  <si>
    <t>Direção Regional da Mobilidade</t>
  </si>
  <si>
    <t>Gabinete SRTMI - Laboratório Regional de Engenharia Civil</t>
  </si>
  <si>
    <t>A090</t>
  </si>
  <si>
    <t>A000975</t>
  </si>
  <si>
    <t>Fundo Regional de Apoio à Coesão e Desenvolvimento Económico</t>
  </si>
  <si>
    <t>Fundo Regional dos Transportes Terrestres</t>
  </si>
  <si>
    <t>Direção Regional da Educação e Administração Educativa</t>
  </si>
  <si>
    <t>Rub</t>
  </si>
  <si>
    <t>Sub-art</t>
  </si>
  <si>
    <t>Designação Eco Rec</t>
  </si>
  <si>
    <t>00</t>
  </si>
  <si>
    <t>IMP.S/REND.PESS.SINGULARES (IRS)</t>
  </si>
  <si>
    <t>IMP.S/REND.PESS.COLETIVAS (IRC)</t>
  </si>
  <si>
    <t>IMPOSTOS DIRETOS DIVERSOS</t>
  </si>
  <si>
    <t>IMPOSTO S/SUCESSÕES E DOAÇÕES</t>
  </si>
  <si>
    <t>IMPOSTOS ABOLIDOS</t>
  </si>
  <si>
    <t>IMPOSTO USO, PORTE E DETENÇÃO ARMAS</t>
  </si>
  <si>
    <t>IMPOSTO AUTOMÓVEL (IA)</t>
  </si>
  <si>
    <t>IMPOSTOS RODOVIÁRIOS</t>
  </si>
  <si>
    <t>IMPOSTO S/ ÁLCOOL BEB. ÁLCOOL. (IABA)</t>
  </si>
  <si>
    <t>RESULTADOS EXPLORAÇÃO APOSTAS MUTUAS</t>
  </si>
  <si>
    <t>IMPOSTO DE SELO</t>
  </si>
  <si>
    <t>IMPOSTO S/ PRODUTOS PETROLÍFEROS (ISP)</t>
  </si>
  <si>
    <t>IMPOSTO S/ VALOR ACRESCENTADO (IVA)</t>
  </si>
  <si>
    <t>IMPOSTO DE CONSUMO S/ TABACO</t>
  </si>
  <si>
    <t>IMPOSTO DO JOGO</t>
  </si>
  <si>
    <t>IMPOSTOS INDIRETOS DIVERSOS</t>
  </si>
  <si>
    <t>IMPOSTOS DIVERSOS S/ CONSUMO</t>
  </si>
  <si>
    <t>LOTARIAS</t>
  </si>
  <si>
    <t>COMPARTICIPAÇÕES PARA A ADSE</t>
  </si>
  <si>
    <t>OUTROS</t>
  </si>
  <si>
    <t>TAXAS DE REGISTO DE NOTARIADO</t>
  </si>
  <si>
    <t>TAXAS DE PORTOS</t>
  </si>
  <si>
    <t>TAXAS S/ LICENCIAMENTOS DIV. CONCEDIDOS A EMPRESAS</t>
  </si>
  <si>
    <t>TAXAS S/ GEOLOGIA E MINAS</t>
  </si>
  <si>
    <t>TAXAS DE JUSTIÇA</t>
  </si>
  <si>
    <t>15</t>
  </si>
  <si>
    <t>TAXAS S/ CONTROLO METROLÓGICO E DE QUALIDADE</t>
  </si>
  <si>
    <t>22</t>
  </si>
  <si>
    <t>PROPINAS</t>
  </si>
  <si>
    <t>23</t>
  </si>
  <si>
    <t>TAXAS ESPECIFICAS DAS AUTARQUIAS LOCAIS</t>
  </si>
  <si>
    <t>COIMAS E PENALIDADES POR CONTRAORDENAÇÕES</t>
  </si>
  <si>
    <t>JUROS COMPENSATÓRIOS</t>
  </si>
  <si>
    <t>TAXAS S/ ENERGIA</t>
  </si>
  <si>
    <t>TAXAS DE REGISTO CIVIL</t>
  </si>
  <si>
    <t>18</t>
  </si>
  <si>
    <t>TAXAS S/ VALOR DE ADJUDICAÇÃO DE OBRAS PUBLICAS</t>
  </si>
  <si>
    <t>TAXAS S/ ESPETÁCULOS E DIVERTIMENTOS</t>
  </si>
  <si>
    <t>TAXAS S/EMBALAGENS NÃO REUTILIZÁVEIS-ECOL-EMB</t>
  </si>
  <si>
    <t>TAXAS DE REGISTO PREDIAL</t>
  </si>
  <si>
    <t>TAXAS DE REGISTO COMERCIAL</t>
  </si>
  <si>
    <t>TAXAS VINÍCOLAS</t>
  </si>
  <si>
    <t>19</t>
  </si>
  <si>
    <t>ADICIONAIS</t>
  </si>
  <si>
    <t>JUROS DE MORA</t>
  </si>
  <si>
    <t>TAXAS MODERADORAS</t>
  </si>
  <si>
    <t>20</t>
  </si>
  <si>
    <t>EMOLUMENTOS CONSULARES</t>
  </si>
  <si>
    <t>21</t>
  </si>
  <si>
    <t>PORTAGENS</t>
  </si>
  <si>
    <t>MULTAS E PENALIDADES DIVERSAS</t>
  </si>
  <si>
    <t>ECOTAXA-SACOS PLÁSTICOS</t>
  </si>
  <si>
    <t>TAXAS FLORESTAIS</t>
  </si>
  <si>
    <t>TAXAS S/ COMERCIALIZAÇÃO E ABATE DE GADO</t>
  </si>
  <si>
    <t>OUTRAS</t>
  </si>
  <si>
    <t>14</t>
  </si>
  <si>
    <t>TAXAS S/ OPERAÇÕES DE BOLSA</t>
  </si>
  <si>
    <t>16</t>
  </si>
  <si>
    <t>TAXAS S/ FISCALIZAÇÃO DE ACTIV. COMERCIAIS E INDUSTRIAIS</t>
  </si>
  <si>
    <t>MULTAS E COIMAS P/ INFRAÇÕES CÓDIGO ESTRADA E RESTANTE LEGISLAÇÃO</t>
  </si>
  <si>
    <t>BANCOS E OUTRAS INSTITUIÇÕES FINANCEIRAS</t>
  </si>
  <si>
    <t>COMPANHIAS DE SEGUROS E FUNDOS DE PENSÕES</t>
  </si>
  <si>
    <t>PRIVADAS</t>
  </si>
  <si>
    <t>BENS DE DOMÍNIO PUBLICO</t>
  </si>
  <si>
    <t>JUROS - FAMÍLIAS</t>
  </si>
  <si>
    <t>PUBLICAS</t>
  </si>
  <si>
    <t>TERRENOS</t>
  </si>
  <si>
    <t>HABITAÇÕES</t>
  </si>
  <si>
    <t>ATIVOS INCORPÓREOS</t>
  </si>
  <si>
    <t>DIVIDENDOS E PARTICIP NOS LUCROS DE SOC. FINANCEIRAS</t>
  </si>
  <si>
    <t>ADMINISTRAÇÃO CENTRAL - ESTADO</t>
  </si>
  <si>
    <t>ATIVOS NO SUBSOLO</t>
  </si>
  <si>
    <t>ADMINISTRAÇÃO REGIONAL</t>
  </si>
  <si>
    <t>JUROS - INSTITUIÇÕES S/FINS LUCRATIVOS</t>
  </si>
  <si>
    <t>DIVID E PARTICIP LUCROS DE SOC E QUASE-SOC NÃO FINANCEIRAS</t>
  </si>
  <si>
    <t>EDIFÍCIOS</t>
  </si>
  <si>
    <t>UNIÃO EUROPEIA - INSTITUIÇÕES</t>
  </si>
  <si>
    <t>INSTITUIÇÕES S/ FINS LUCRATIVOS</t>
  </si>
  <si>
    <t>SERVIÇOS E FUNDOS AUTÓNOMOS</t>
  </si>
  <si>
    <t>PAÍSES TERCEIROS E ORGANIZAÇÕES INTERNACIONAIS</t>
  </si>
  <si>
    <t>ESTADO</t>
  </si>
  <si>
    <t>REGIÃO AUTÓNOMA DOS ACORES</t>
  </si>
  <si>
    <t>SISTEMA DE SOLIDARIEDADE E SEGURANÇA SOCIAL</t>
  </si>
  <si>
    <t>OUTRAS TRANSFERÊNCIAS</t>
  </si>
  <si>
    <t>DESPERDÍCIOS, RESÍDUOS E REFUGOS</t>
  </si>
  <si>
    <t>REPARAÇÕES</t>
  </si>
  <si>
    <t>ALIMENTAÇÃO E ALOJAMENTO</t>
  </si>
  <si>
    <t>LIVROS E DOCUMENTAÇÃO TÉCNICA</t>
  </si>
  <si>
    <t>PRODUTOS ALIMENTARES E BEBIDAS</t>
  </si>
  <si>
    <t>FARDAMENTOS E ARTIGOS PESSOAIS</t>
  </si>
  <si>
    <t>SERVIÇOS SOCIAIS, RECREATIVOS, CULTURAIS E DESPORTO</t>
  </si>
  <si>
    <t>VISTORIAS E ENSAIOS</t>
  </si>
  <si>
    <t>BENS INUTILIZADOS</t>
  </si>
  <si>
    <t>PUBLICAÇÕES E IMPRESSOS</t>
  </si>
  <si>
    <t>MATERIAL DE ESCRITÓRIO</t>
  </si>
  <si>
    <t>ALUGUER DE ESPAÇOS E EQUIPAMENTOS</t>
  </si>
  <si>
    <t>SERVIÇOS ESPECÍFICOS DAS  AUTARQUIAS</t>
  </si>
  <si>
    <t>PRODUTOS AGRÍCOLAS E PECUÁRIOS</t>
  </si>
  <si>
    <t>MERCADORIAS</t>
  </si>
  <si>
    <t>MATÉRIAS DE CONSUMO</t>
  </si>
  <si>
    <t>ESTUDOS, PARECERES, PROJETOS E CONSULTADORIA</t>
  </si>
  <si>
    <t>SERVIÇOS DE LABORATÓRIOS</t>
  </si>
  <si>
    <t>ATIVIDADES DE SAÚDE</t>
  </si>
  <si>
    <t>PRODUTO DA VENDA DE VALORES DESAMOEDADOS</t>
  </si>
  <si>
    <t>PRÉMIOS, TAXAS POR GARANTIAS DE RISCO E DIFERENÇAS DE CAMBIO</t>
  </si>
  <si>
    <t>LUCROS DE AMOEDAÇÃO</t>
  </si>
  <si>
    <t>INSTITUIÇÕES S/FINS LUCRATIVOS</t>
  </si>
  <si>
    <t>ADM. PUBLICAS - ADM. REGIONAL</t>
  </si>
  <si>
    <t>FAMÍLIAS</t>
  </si>
  <si>
    <t>ADM. PUBLICAS - ADM. CENTRAL - ESTADO</t>
  </si>
  <si>
    <t>ADM. PUBLICAS - ADM. LOCAL - REGIÕES AUTÓNOMAS</t>
  </si>
  <si>
    <t>RESTO DO MUNDO - UNIÃO EUROPEIA</t>
  </si>
  <si>
    <t>SOCIEDADES FINANCEIRAS</t>
  </si>
  <si>
    <t>SOCIEDADES E QUASE SOC. NÃO FINANCEIRAS</t>
  </si>
  <si>
    <t>ADM. PUBLICAS - ADM. CENTRAL - SFA</t>
  </si>
  <si>
    <t>ADM. PUBLICAS - SEGURANÇA SOCIAL</t>
  </si>
  <si>
    <t>ADM. PUBLICAS - ADM. LOCAL - CONTINENTE</t>
  </si>
  <si>
    <t>RESTO DO MUNDO - PAÍSES TERCEIROS E ORGANIZAÇÕES INTERNACIONAIS</t>
  </si>
  <si>
    <t>UNIÃO EUROPEIA - PAÍSES MEMBROS</t>
  </si>
  <si>
    <t>ALIENAÇÃO DE PARTES SOCIAIS DE EMPRESAS</t>
  </si>
  <si>
    <t>RECUPERAÇÃO DE CRÉDITOS GARANTIDOS</t>
  </si>
  <si>
    <t>INDEMNIZAÇÕES</t>
  </si>
  <si>
    <t>REPOSIÇÕES NÃO ABATIDAS NOS PAGAMENTOS</t>
  </si>
  <si>
    <t>NA POSSE DO SERVIÇO</t>
  </si>
  <si>
    <t>Capítulo</t>
  </si>
  <si>
    <t>CONTRIBUIÇÕES PARA A SEG. SOCIAL, A CGA E A ADSE</t>
  </si>
  <si>
    <t>TAXAS, MULTAS E OUTRAS PENALIDADES</t>
  </si>
  <si>
    <t>RENDIMENTOS DE PROPRIEDADE</t>
  </si>
  <si>
    <t>TRANSFERÊNCIAS CORRENTES</t>
  </si>
  <si>
    <t>VENDA DE BENS E SERVIÇOS CORRENTES</t>
  </si>
  <si>
    <t>OUTRAS RECEITAS CORRENTES</t>
  </si>
  <si>
    <t>VENDA DE BENS DE INVESTIMENTO</t>
  </si>
  <si>
    <t>TRANSFERÊNCIAS DE CAPITAL</t>
  </si>
  <si>
    <t>ACTIVOS FINANCEIROS</t>
  </si>
  <si>
    <t>PASSIVOS FINANCEIROS</t>
  </si>
  <si>
    <t>OUTRAS RECEITAS DE CAPITAL</t>
  </si>
  <si>
    <t>SALDO DA GERÊNCIA ANTERIOR</t>
  </si>
  <si>
    <t>IMPOSTOS DIRETOS</t>
  </si>
  <si>
    <t>SOBRE O RENDIMENTO</t>
  </si>
  <si>
    <t xml:space="preserve">OUTROS  </t>
  </si>
  <si>
    <t>INDIRETOS</t>
  </si>
  <si>
    <t>SOBRE O CONSUMO</t>
  </si>
  <si>
    <t>CAIXA GERAL DE APOSENTAÇÕES E ADSE</t>
  </si>
  <si>
    <t>TAXAS</t>
  </si>
  <si>
    <t>TAXAS DIVERSAS</t>
  </si>
  <si>
    <t>MULTAS E OUTRAS PENALIDADES</t>
  </si>
  <si>
    <t>JUROS - SOCIEDADES E QUASE-SOCIEDADES NÃO FINANCEIRAS</t>
  </si>
  <si>
    <t>JUROS - SOCIEDADES FINANCEIRAS</t>
  </si>
  <si>
    <t>JUROS - ADMINISTRAÇÕES PÚBLICAS</t>
  </si>
  <si>
    <t>JUROS - SEM FINS LUCRATIVOS</t>
  </si>
  <si>
    <t>DIVIDENDOS E PARTICIP.NOS LUCROS DE SOC./QUASE-SOC. NÃO FIN.</t>
  </si>
  <si>
    <t>DIVIDENDOS E PARTICIPAÇÕES NOS LUCROS DE SOCIEDADES FINANC.</t>
  </si>
  <si>
    <t>RENDAS</t>
  </si>
  <si>
    <t>SOCIEDADES E QUASE-SOCIEDADES NÃO FINANCEIRAS</t>
  </si>
  <si>
    <t>ADMINISTRAÇÃO CENTRAL</t>
  </si>
  <si>
    <t>ADMINISTRAÇÃO LOCAL</t>
  </si>
  <si>
    <t>SEGURANÇA SOCIAL</t>
  </si>
  <si>
    <t>INSTITUIÇÕES SEM FINS LUCRATIVOS</t>
  </si>
  <si>
    <t>RESTO DO MUNDO</t>
  </si>
  <si>
    <t>VENDA DE BENS</t>
  </si>
  <si>
    <t>SERVIÇOS</t>
  </si>
  <si>
    <t>OUTROS BENS DE INVESTIMENTO</t>
  </si>
  <si>
    <t>EMPRÉSTIMOS A CURTO PRAZO</t>
  </si>
  <si>
    <t>EMPRÉSTIMOS A MÉDIO E LONGO PRAZOS</t>
  </si>
  <si>
    <t>SALDO ORÇAMENTAL</t>
  </si>
  <si>
    <t>OPERAÇÕES DE TESOURARIA-RETENÇÃO DE RECEITA DO ESTADO</t>
  </si>
  <si>
    <t xml:space="preserve">RETENÇÃO OBRIGATÓRIO PARA AUTORIDADE TRIBUTÁRIA   </t>
  </si>
  <si>
    <t>OUTRAS OPERAÇÕES DE TESOURARIA</t>
  </si>
  <si>
    <t>FÓRUM E PROGRAMA DE INTERCÂMBIO COM OS EUA</t>
  </si>
  <si>
    <t>COIMAS - INSPEÇÃO REGIONAL DO AMBIENTE</t>
  </si>
  <si>
    <t>PROGRAMA DE COOPERAÇÃO TÉCNICA EM PRODUÇÃO LEITEIR</t>
  </si>
  <si>
    <t>COFRE DE PREVIDÊNCIA DOS FUNC. E AGENTES DO ESTADO</t>
  </si>
  <si>
    <t xml:space="preserve">LEPTOSPIROSE                                      </t>
  </si>
  <si>
    <t>COIMAS - INSPECÇÃO REGIONAL DAS PESCAS.</t>
  </si>
  <si>
    <t>ORGANISMOS DE PREVIDÊNCIA E ABONO DE FAMÍLIA</t>
  </si>
  <si>
    <t xml:space="preserve">ORGANISMOS SINDICAIS E OBRAS SOCIAIS  </t>
  </si>
  <si>
    <t>COMPARTICIPAÇÃO NACIONAL NA FORMAÇÃO PROFISSIONAL.</t>
  </si>
  <si>
    <t>25</t>
  </si>
  <si>
    <t>DEPÓSITOS DE GARANTIA E CAUÇÕES DIVERSAS.</t>
  </si>
  <si>
    <t>26</t>
  </si>
  <si>
    <t>DESC. VENC. P/SENTENÇAS JUDICIAIS E REPOSIÇÕES P/OUTR. ENTID.</t>
  </si>
  <si>
    <t>28</t>
  </si>
  <si>
    <t>ENTREGAS DO ESTADO/INST. PÚB. P/ CORPOS ADM. ORG. ENT. REGIÃO.</t>
  </si>
  <si>
    <t>29</t>
  </si>
  <si>
    <t xml:space="preserve">JUVENTUDE EM AÇÃO                                 </t>
  </si>
  <si>
    <t>31</t>
  </si>
  <si>
    <t>TRANSFERÊNCIAS EFETUADAS NÃO IDENTIFICADAS POR DOCUMENTOS</t>
  </si>
  <si>
    <t>35</t>
  </si>
  <si>
    <t>FUNDO SOCIAL EUROPEU.</t>
  </si>
  <si>
    <t>36</t>
  </si>
  <si>
    <t xml:space="preserve">OUTROS FUNDOS COMUNITÁRIOS                        </t>
  </si>
  <si>
    <t>37</t>
  </si>
  <si>
    <t xml:space="preserve">ENTREGAS FEDER                                    </t>
  </si>
  <si>
    <t>38</t>
  </si>
  <si>
    <t>TRANSF. DO ESTADO P/  AS AUTARQUIAS (LEI FINANÇAS LOCAIS).</t>
  </si>
  <si>
    <t>39</t>
  </si>
  <si>
    <t>PRÉMIOS DE SEGURO - RAMO VIDA</t>
  </si>
  <si>
    <t>40</t>
  </si>
  <si>
    <t xml:space="preserve">FINANCIAMENTO DE TURISMO DE PORTUGAL              </t>
  </si>
  <si>
    <t>41</t>
  </si>
  <si>
    <t>TAXAS - AGRICULTURA</t>
  </si>
  <si>
    <t>42</t>
  </si>
  <si>
    <t>EX-SPRHI-SOC.PROM. REABILITAÇÃO HABITAÇÃO INFRAESTR. S.A</t>
  </si>
  <si>
    <t>45</t>
  </si>
  <si>
    <t>EX-SAUDAÇOR</t>
  </si>
  <si>
    <t>46</t>
  </si>
  <si>
    <t>REEMBOLSOS DE FUNDOS COMUNITÁRIOS</t>
  </si>
  <si>
    <t>47</t>
  </si>
  <si>
    <t>COIMAS NO ÂMBITO DO COVID-19</t>
  </si>
  <si>
    <t>48</t>
  </si>
  <si>
    <t>FENAIS &amp; FENAIS</t>
  </si>
  <si>
    <t>49</t>
  </si>
  <si>
    <t>PRR PLANO DE RECUPERAÇÃO E RESILIÊNCIA</t>
  </si>
  <si>
    <t>50</t>
  </si>
  <si>
    <t>EX-AZORINA - SOCIEDADE DE GESTÃO AMBIENTAL E CONSERVAÇÃO DA NATUREZA</t>
  </si>
  <si>
    <t>COIMAS  - AGRICULTURA</t>
  </si>
  <si>
    <t>FSU - FUNDO DE SOLIDARIEDADE DA UNIÃO EUROPEIA</t>
  </si>
  <si>
    <t>EEA GRANTS - REBUILD 17</t>
  </si>
  <si>
    <t>EX-SDEA - SOC. DESENVOLVIMENTO EMPRESARIAL AÇORES,EPER</t>
  </si>
  <si>
    <t>COMPARTICIPAÇÃO AOS PROJETOS DO LREC</t>
  </si>
  <si>
    <t>PRIME - SIME.</t>
  </si>
  <si>
    <t>79</t>
  </si>
  <si>
    <t xml:space="preserve">FUNDO DE COESÃO                                   </t>
  </si>
  <si>
    <t>VENDA DE MADEIRAS E RENDAS</t>
  </si>
  <si>
    <t>90</t>
  </si>
  <si>
    <t>TRANSFERÊNCIAS A TERCEIROS</t>
  </si>
  <si>
    <t>PENHORAS A TERCEIROS</t>
  </si>
  <si>
    <t xml:space="preserve">DEVOLUÇÃO DE SALDOS                               </t>
  </si>
  <si>
    <t>RETENÇÕES A ENTREGAR A TERCEIROS</t>
  </si>
  <si>
    <t>IF</t>
  </si>
  <si>
    <t>Capítulos</t>
  </si>
  <si>
    <t>Mínimo</t>
  </si>
  <si>
    <t>Máximo</t>
  </si>
  <si>
    <t>Linhas</t>
  </si>
  <si>
    <t>Lista</t>
  </si>
  <si>
    <t>DEVOLUÇÃO DE SALDOS</t>
  </si>
  <si>
    <t>FUNDO DE COESÃO</t>
  </si>
  <si>
    <t>REBUILD17</t>
  </si>
  <si>
    <t>ENTREGAS FEDER</t>
  </si>
  <si>
    <t>FINANCIAMENTO DE TURISMO DE PORTUGAL</t>
  </si>
  <si>
    <t>OUTROS FUNDOS COMUNITÁRIOS</t>
  </si>
  <si>
    <t>JUVENTUDE EM AÇÃO</t>
  </si>
  <si>
    <t>LEPTOSPIROSE</t>
  </si>
  <si>
    <t>Cap</t>
  </si>
  <si>
    <t>Gru</t>
  </si>
  <si>
    <t>Art</t>
  </si>
  <si>
    <t>Importância (€)</t>
  </si>
  <si>
    <t>cap</t>
  </si>
  <si>
    <t>gru</t>
  </si>
  <si>
    <t>art</t>
  </si>
  <si>
    <t>sart</t>
  </si>
  <si>
    <t>pos</t>
  </si>
  <si>
    <t>erro?</t>
  </si>
  <si>
    <t>rubr</t>
  </si>
  <si>
    <t>Serviço de Caixa da DROT na Horta</t>
  </si>
  <si>
    <t>Serviço de Caixa da DROT em Angra do Heroísmo</t>
  </si>
  <si>
    <t>Serviço de Caixa da DROT em Ponta Delgada</t>
  </si>
  <si>
    <t xml:space="preserve">Designação </t>
  </si>
  <si>
    <t>Engloba as receitas que recaem exclusivamente sobre o sector produtivo, incidindo sobre a produção, a venda, a compra ou a utilização de bens e serviços.
Este capítulo engloba, de forma desagregada, os grupos dos impostos sobre o consumo e outros</t>
  </si>
  <si>
    <t>Abrange as receitas provenientes das contribuições para a segurança social, a Caixa Geral de Aposentações (CGA) e descontos para a ADSE.
Este capítulo engloba, de forma desagregada, três grupos de contribuições: «Subsistema previdencial»; «Regimes complementares e especiais»;- «Caixa Geral de Aposentações e ADSE».</t>
  </si>
  <si>
    <t>Taxas, multas e outras penalidades». - Este capítulo engloba o grupo «Taxas» onde inclem os pagamentos em contrapartida da emissão de licenças e da prestação de serviços, nos termos da lei, não havendo qualquer relação de valor entre os aludidos pagamentos e o custo dos serviços prestados e o grupo «Multas e outras penalidades» para escriturar as receitas provenientes da aplicação de multas pela transgressão da lei, posturas e outros regulamentos.</t>
  </si>
  <si>
    <t>Abrange este capítulo as receitas provenientes do rendimento de activos financeiros (depósitos bancários, títulos e empréstimos) e rendas de activos não produtivos, nomeadamente terrenos e activos incorpóreos (direitos de autor, patentes e outros).</t>
  </si>
  <si>
    <t>Entende-se por transferências correntes os recursos financeiros auferidos sem qualquer contrapartida, destinados ao financiamento de despesas correntes ou sem afectação preestabelecida.
Este capítulo desagrega-se de acordo com a classificação do sector e da unidade institucional.</t>
  </si>
  <si>
    <t>Neste capítulo incluem-se, na generalidade, as receitas quer com o produto da venda dos bens, inventariados ou não, que inicialmente não tenham sido classificados como bens de capital ou de investimento, quer ainda com os recebimentos de prestação de serviços. Às receitas enquadráveis neste capítulo estão subjacentes preços que correspondem a valores sensivelmente idênticos aos custos de produção dos bens ou serviços vendidos.</t>
  </si>
  <si>
    <t>Classificam-se as receitas não tipificadas nos Vários artigos dos capítulos precedentes.</t>
  </si>
  <si>
    <t>Observaçao (DL 26/2002)</t>
  </si>
  <si>
    <t xml:space="preserve"> Compreende os rendimentos provenientes da alienação, a título oneroso, de bens de capital que na aquisição ou construção tenham sido contabilizados como investimento. Consideram-se neste capítulo as vendas de bens de capital em qualquer estado, inclusive os que tenham ultrapassado o período máximo de vida útil.</t>
  </si>
  <si>
    <t xml:space="preserve"> Entende-se por transferências de capital os recursos financeiros auferidos sem qualquer contrapartida, destinados ao financiamento de despesas de capital. Inclui as receitas relativas a cauções e depósitos de garantia que revertem a favor da entidade, assim como heranças jacentes e outros valores prescritos ou abandonados. Engloba ainda as receitas provenientes do remanescente da revalorização das reservas de ouro existentes no Banco de Portugal. Abrange também as quantias ou valores apreendidos, bem como a venda de géneros e mercadorias apreendidos e ainda as receitas referentes a fianças-crime quebradas e depósitos de contratos não cumpridos.</t>
  </si>
  <si>
    <t>Compreende as receitas provenientes da venda e amortização de títulos de crédito, designadamente obrigações e acções ou outras formas de participação, assim como as resultantes do reembolso de empréstimos ou subsídios concedidos. Os activos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</si>
  <si>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Como «Passivos financeiros» consideram-se as receitas provenientes da emissão de obrigações e de empréstimos contraídos a curto e a médio e longo prazos. Os passivos financeiros apresentam uma estrutura comum nos vários tipos de aplicações financeiras, englobando as de tesouraria e as de médio e longo prazos, uma vez que se optou por seguir uma uniformização em termos de classificador económico sabendo à partida que só alguns sectores institucionais o irão utilizar.</t>
  </si>
  <si>
    <t>Trata-se de um capítulo económico com carácter residual.</t>
  </si>
  <si>
    <t xml:space="preserve">Abrange as receitas resultantes das entradas de fundos na tesouraria em resultado de pagamentos orçamentais indevidos, ocorridos em anos anteriores, ou em razão de não terem sido utilizados, na globalidade ou em parte, pelas entidades que os receberam. Contudo, neste capítulo só se registam as devoluções que têm lugar depois de encerrado o ano financeiro em que ocorreu o pagamento. Caso contrário, ou seja, no caso de as devoluções terem lugar antes do encerramento do ano financeiro, estamos perante reposições abatidas nos pagamentos. </t>
  </si>
  <si>
    <t>Contabilizam-se os saldos de gerência que constituem receita dos serviços, devendo ser desagregados de acordo com a sua proveniência.
São igualmente englobados neste capítulo outros saldos que porventura permaneçam nos cofres do Estado, nomeadamente na posse do serviço e na posse do Tesouro.</t>
  </si>
  <si>
    <t>Neste agrupamento englobam-se as operações que não são consideradas receita orçamental, mas com expressão na tesouraria.</t>
  </si>
  <si>
    <t xml:space="preserve">Compreendem-se as receitas da Administração Pública provenientes da tributação dos rendimentos do capital e do trabalho, dos ganhos de capital e de outras fontes de rendimento, incluindo os que recaem sobre os rendimentos da propriedade imobiliária (rústica e urbana).Incluem-se, também, os impostos que incidem sobre os activos financeiros e sobre o valor líquido ou total do património dos agentes residentes.Abrangem-se também os que incidem sobre os particulares pela posse ou utilização de bens. Excluem-se as imposições de uma ou outra natureza que não apresentem a característica de periodicidade. </t>
  </si>
  <si>
    <t>exemplo de preenchimento de guia</t>
  </si>
  <si>
    <t>Instruções de preenchimento:</t>
  </si>
  <si>
    <t>2. Escolha da lista a entidade emissora da Guia de Receita;</t>
  </si>
  <si>
    <t>3. Preencha o nome completo e o NIF/NIPC da entidade devedora</t>
  </si>
  <si>
    <t xml:space="preserve">4. Preencha a proveniência da receita. </t>
  </si>
  <si>
    <t xml:space="preserve">      As restantes informações relativas à Classificação Económica escolhida, são automaticamente preenchidas.</t>
  </si>
  <si>
    <t>7. De seguida preencha o valor relativo à linha em causa</t>
  </si>
  <si>
    <t xml:space="preserve">      Observação: O valor por extenso é automaticamente preenchido.</t>
  </si>
  <si>
    <t>8. Poderá, se necessário, preencher as linhas seguintes,  até um máximo de 5 CE's por guia.</t>
  </si>
  <si>
    <t>A quantia por extenso surgirá automaticamente quando o valor total da Guia for &gt; 0,00€</t>
  </si>
  <si>
    <t>Inspeção Regional do Ambiente</t>
  </si>
  <si>
    <t>5. Preencha a(s) Classificação(ões) Económica(s) a utilizar. Em primeiro lugar, escolha da lista o correspondente Capítulo da receita.</t>
  </si>
  <si>
    <t>6. Posteriormente, escolha da lista a Classificação Económica a utilizar (a lista só apresentará as CE's do Capítulo escolhido anteriormente).</t>
  </si>
  <si>
    <t>Tesouraria/Serviço de Caixa que irá cobrar a receita:</t>
  </si>
  <si>
    <t xml:space="preserve">      Observação: Se tiver dúvidas que Capítulo deve escolher, consulte a Folha 'Capítulos':</t>
  </si>
  <si>
    <t>1. Preencha o n.º (número sequencial do seu Organismo);</t>
  </si>
  <si>
    <t xml:space="preserve">      Depois de escolher um organismo, o sistema preenche automaticamente o código e nome do respetivo departamento bem como o código do organismo escolhido;</t>
  </si>
  <si>
    <t>Observações gerais:</t>
  </si>
  <si>
    <t>- toda a receita deve ser registada em rubricas com previsão, devidamente inscritas no Mapa I que integrará o DLR que aprovar o ORAA 2023;</t>
  </si>
  <si>
    <t>No ano económico de 2023, no registo da receita deverá ser tido em conta o seguinte:</t>
  </si>
  <si>
    <t>- para facilitar essa tarefa, o presente modelo de Guia de Receita, só permite a utilização de rubricas com previsão;</t>
  </si>
  <si>
    <t>- surgindo alguma situação que não esteja comtemplada no Mapa I, a mesma deverá ser analisada com vista a uma tomada de decisão sobre a classificação económica a utilizar;</t>
  </si>
  <si>
    <t>- a criação de novas classificações económicas de receita durante a execução do ORAA  deixa de fazer qualquer sentido.</t>
  </si>
  <si>
    <t xml:space="preserve">Informa-se ainda que para 2023 foram criados subartigos e rúbricas no artigo R.04.01.99, os quais já estão disponíveis neste novo modelo de Guia de Receita. </t>
  </si>
  <si>
    <t>RECEITAS DE CAPITAL:</t>
  </si>
  <si>
    <t>RECEITAS CORRENTES:</t>
  </si>
  <si>
    <t>São aquelas que, regra geral, se renovam em todos os períodos financeirose desagregam-se nos capítulos seguintes.</t>
  </si>
  <si>
    <t>São receitas cobradas ocasionalmente, isto é, que se revestem de carácter transitório, e que, regra geral, estão associadas a uma diminuição do património. Desagregam-se nos seguintes capítulos.</t>
  </si>
  <si>
    <t>TAXAS SOBRE EMBALAGENS</t>
  </si>
  <si>
    <t>OUTRAS TAXAS DIVERSAS</t>
  </si>
  <si>
    <t>1702990000</t>
  </si>
  <si>
    <t>1702980000</t>
  </si>
  <si>
    <t>1702970000</t>
  </si>
  <si>
    <t>1702900000</t>
  </si>
  <si>
    <t>1702860000</t>
  </si>
  <si>
    <t>1702810000</t>
  </si>
  <si>
    <t>1702790000</t>
  </si>
  <si>
    <t>1702770000</t>
  </si>
  <si>
    <t>1702740000</t>
  </si>
  <si>
    <t>1702700000</t>
  </si>
  <si>
    <t>1702690000</t>
  </si>
  <si>
    <t>1702680000</t>
  </si>
  <si>
    <t>1702660000</t>
  </si>
  <si>
    <t>1702500000</t>
  </si>
  <si>
    <t>1702490000</t>
  </si>
  <si>
    <t>1702480000</t>
  </si>
  <si>
    <t>1702470000</t>
  </si>
  <si>
    <t>1702460000</t>
  </si>
  <si>
    <t>1702450000</t>
  </si>
  <si>
    <t>1702420000</t>
  </si>
  <si>
    <t>1702410000</t>
  </si>
  <si>
    <t>1702400000</t>
  </si>
  <si>
    <t>1702390000</t>
  </si>
  <si>
    <t>1702380000</t>
  </si>
  <si>
    <t>1702370000</t>
  </si>
  <si>
    <t>1702360000</t>
  </si>
  <si>
    <t>1702350000</t>
  </si>
  <si>
    <t>1702310000</t>
  </si>
  <si>
    <t>1702290000</t>
  </si>
  <si>
    <t>1702280000</t>
  </si>
  <si>
    <t>1702260000</t>
  </si>
  <si>
    <t>1702250000</t>
  </si>
  <si>
    <t>1702230000</t>
  </si>
  <si>
    <t>1702210000</t>
  </si>
  <si>
    <t>1702200000</t>
  </si>
  <si>
    <t>1702170000</t>
  </si>
  <si>
    <t>1702160000</t>
  </si>
  <si>
    <t>1702150000</t>
  </si>
  <si>
    <t>1702140000</t>
  </si>
  <si>
    <t>1702130000</t>
  </si>
  <si>
    <t>1702090000</t>
  </si>
  <si>
    <t>1702070000</t>
  </si>
  <si>
    <t>SALDOS DE GERÊNCIA DE SFA'S</t>
  </si>
  <si>
    <t>RETENÇÕES A ENTREGAR A TERCEIROS - R1702990000</t>
  </si>
  <si>
    <t>DEVOLUÇÃO DE SALDOS - R1702980000</t>
  </si>
  <si>
    <t>PENHORAS A TERCEIROS - R1702970000</t>
  </si>
  <si>
    <t>TRANSFERÊNCIAS A TERCEIROS - R1702900000</t>
  </si>
  <si>
    <t>VENDA DE MADEIRAS E RENDAS - R1702860000</t>
  </si>
  <si>
    <t>FUNDO DE COESÃO - R1702810000</t>
  </si>
  <si>
    <t>REBUILD17 - R1702790000</t>
  </si>
  <si>
    <t>PRIME - SIME. - R1702770000</t>
  </si>
  <si>
    <t>COMPARTICIPAÇÃO AOS PROJETOS DO LREC - R1702740000</t>
  </si>
  <si>
    <t>EX-SDEA - SOC. DESENVOLVIMENTO EMPRESARIAL AÇORES,EPER - R1702700000</t>
  </si>
  <si>
    <t>EEA GRANTS - REBUILD 17 - R1702690000</t>
  </si>
  <si>
    <t>FSU - FUNDO DE SOLIDARIEDADE DA UNIÃO EUROPEIA - R1702680000</t>
  </si>
  <si>
    <t>COIMAS  - AGRICULTURA - R1702660000</t>
  </si>
  <si>
    <t>EX-AZORINA - SOCIEDADE DE GESTÃO AMBIENTAL E CONSERVAÇÃO DA NATUREZA - R1702500000</t>
  </si>
  <si>
    <t>PRR PLANO DE RECUPERAÇÃO E RESILIÊNCIA - R1702490000</t>
  </si>
  <si>
    <t>FENAIS &amp; FENAIS - R1702480000</t>
  </si>
  <si>
    <t>COIMAS NO ÂMBITO DO COVID-19 - R1702470000</t>
  </si>
  <si>
    <t>REEMBOLSOS DE FUNDOS COMUNITÁRIOS - R1702460000</t>
  </si>
  <si>
    <t>EX-SAUDAÇOR - R1702450000</t>
  </si>
  <si>
    <t>EX-SPRHI-SOC.PROM. REABILITAÇÃO HABITAÇÃO INFRAESTR. S.A - R1702420000</t>
  </si>
  <si>
    <t>TAXAS - AGRICULTURA - R1702410000</t>
  </si>
  <si>
    <t>FINANCIAMENTO DE TURISMO DE PORTUGAL - R1702400000</t>
  </si>
  <si>
    <t>PRÉMIOS DE SEGURO - RAMO VIDA - R1702390000</t>
  </si>
  <si>
    <t>TRANSF. DO ESTADO P/  AS AUTARQUIAS (LEI FINANÇAS LOCAIS). - R1702380000</t>
  </si>
  <si>
    <t>ENTREGAS FEDER - R1702370000</t>
  </si>
  <si>
    <t>OUTROS FUNDOS COMUNITÁRIOS - R1702360000</t>
  </si>
  <si>
    <t>FUNDO SOCIAL EUROPEU. - R1702350000</t>
  </si>
  <si>
    <t>TRANSFERÊNCIAS EFETUADAS NÃO IDENTIFICADAS POR DOCUMENTOS - R1702310000</t>
  </si>
  <si>
    <t>JUVENTUDE EM AÇÃO - R1702290000</t>
  </si>
  <si>
    <t>ENTREGAS DO ESTADO/INST. PÚB. P/ CORPOS ADM. ORG. ENT. REGIÃO. - R1702280000</t>
  </si>
  <si>
    <t>DESC. VENC. P/SENTENÇAS JUDICIAIS E REPOSIÇÕES P/OUTR. ENTID. - R1702260000</t>
  </si>
  <si>
    <t>DEPÓSITOS DE GARANTIA E CAUÇÕES DIVERSAS. - R1702250000</t>
  </si>
  <si>
    <t>COMPARTICIPAÇÃO NACIONAL NA FORMAÇÃO PROFISSIONAL. - R1702230000</t>
  </si>
  <si>
    <t>ORGANISMOS SINDICAIS E OBRAS SOCIAIS   - R1702210000</t>
  </si>
  <si>
    <t>ORGANISMOS DE PREVIDÊNCIA E ABONO DE FAMÍLIA - R1702200000</t>
  </si>
  <si>
    <t>COIMAS - INSPECÇÃO REGIONAL DAS PESCAS. - R1702170000</t>
  </si>
  <si>
    <t>LEPTOSPIROSE - R1702160000</t>
  </si>
  <si>
    <t>COFRE DE PREVIDÊNCIA DOS FUNC. E AGENTES DO ESTADO - R1702150000</t>
  </si>
  <si>
    <t>PROGRAMA DE COOPERAÇÃO TÉCNICA EM PRODUÇÃO LEITEIR - R1702140000</t>
  </si>
  <si>
    <t>CGA - R1702130000</t>
  </si>
  <si>
    <t>COIMAS - INSPEÇÃO REGIONAL DO AMBIENTE - R1702090000</t>
  </si>
  <si>
    <t>FÓRUM E PROGRAMA DE INTERCÂMBIO COM OS EUA - R1702070000</t>
  </si>
  <si>
    <t>SALDOS DE GERÊNCIA DE SFA'S - R1702010000</t>
  </si>
  <si>
    <t>ASSEMBLEIA LEGISLATIVA DA REGIÃO AUTÓNOMA DOS AÇORES</t>
  </si>
  <si>
    <t>PRESIDÊNCIA DO GOVERNO REGIONAL</t>
  </si>
  <si>
    <t>VICE-PRESIDÊNCIA DO GOVERNO REGIONAL</t>
  </si>
  <si>
    <t>SECRETARIA REGIONAL DA EDUCAÇÃO, CULTURA E DESPORTO</t>
  </si>
  <si>
    <t>SECRETARIA REGIONAL DA SAÚDE E SEGURANÇA SOCIAL</t>
  </si>
  <si>
    <t>SECRETARIA REG. AGRICULTURA E ALIMENTAÇÃO</t>
  </si>
  <si>
    <t>SECRETARIA REGIONAL DO MAR E DAS PESCAS</t>
  </si>
  <si>
    <t>SECRETARIA REGIONAL DO TURISMO MOBILIDADE E INFRAESTRUTURAS</t>
  </si>
  <si>
    <t>SECRETARIA REG. JUVENTUDE, HABITAÇÃO E EMPREGO</t>
  </si>
  <si>
    <t>SECRETARIA REGIONAL AMBIENTE E AÇÃO CLIMÁTICA</t>
  </si>
  <si>
    <t>Direção Regional Ambiente e Ação Climática</t>
  </si>
  <si>
    <t>Direção Regional da Agricultura, Veterinária e Alimentação</t>
  </si>
  <si>
    <t>Direção Regional da Ciência, Inovação e Desenvolvimento</t>
  </si>
  <si>
    <t>Direção Regional da Cultura</t>
  </si>
  <si>
    <t>Direção Regional dos Recursos Florestais e Ordenamento Territorial</t>
  </si>
  <si>
    <t>Gabinete da Secretária Regional da Educação, Cultura e Desporto</t>
  </si>
  <si>
    <t>Gabinete da Secretária Regional da Juventude, Habitação e Emprego</t>
  </si>
  <si>
    <t>Gabinete da Secretária Regional da Saúde e Segurança Social</t>
  </si>
  <si>
    <t>Gabinete do Secretário Regional da Agricultura e Alimentação</t>
  </si>
  <si>
    <t>Gabinete SRECD - Inspeção Regional da Educação</t>
  </si>
  <si>
    <t>Gabinete do Secretário Regional do Ambiente e Ação Climática</t>
  </si>
  <si>
    <t>Gabinete SRJHE - Inspeção Regional das Atividades Económicas</t>
  </si>
  <si>
    <t>Gabinete SRJHE - Inspeção Regional do Trabalho</t>
  </si>
  <si>
    <t xml:space="preserve">Gabinete do Secretário Regional dos Assuntos Parlamentares e Comunidades </t>
  </si>
  <si>
    <t>Gabinete SRMP - Inspeção Regional das Pescas e de Usos Marítimos</t>
  </si>
  <si>
    <t>A004-GSSRTMI</t>
  </si>
  <si>
    <t>A005-DROP</t>
  </si>
  <si>
    <t>A006-GSRSSS</t>
  </si>
  <si>
    <t>A011-DROPEP</t>
  </si>
  <si>
    <t>A017-DRM</t>
  </si>
  <si>
    <t>A020-DREC</t>
  </si>
  <si>
    <t>A024-GSRAA</t>
  </si>
  <si>
    <t>A028-DRPM</t>
  </si>
  <si>
    <t>A029-DRRFOT</t>
  </si>
  <si>
    <t>A030-GSRECD</t>
  </si>
  <si>
    <t>A038-DRCID</t>
  </si>
  <si>
    <t>A039-DRAVA</t>
  </si>
  <si>
    <t>A081-DRPIIS</t>
  </si>
  <si>
    <t>A082-DRCPL</t>
  </si>
  <si>
    <t>A087-Gab. SRJHE</t>
  </si>
  <si>
    <t>A089-DRCTD</t>
  </si>
  <si>
    <t>A090-GSRAPC</t>
  </si>
  <si>
    <t>CF da A000 (2024)</t>
  </si>
  <si>
    <t>NA POSSE DO TESOURO</t>
  </si>
  <si>
    <t>0100000000</t>
  </si>
  <si>
    <t>0101000000</t>
  </si>
  <si>
    <t>0101010000</t>
  </si>
  <si>
    <t>0101020000</t>
  </si>
  <si>
    <t>0102000000</t>
  </si>
  <si>
    <t>0102010000</t>
  </si>
  <si>
    <t>0102060000</t>
  </si>
  <si>
    <t>0102070000</t>
  </si>
  <si>
    <t>0102990000</t>
  </si>
  <si>
    <t>0200000000</t>
  </si>
  <si>
    <t>0201000000</t>
  </si>
  <si>
    <t>0201010000</t>
  </si>
  <si>
    <t>0201020000</t>
  </si>
  <si>
    <t>0201030000</t>
  </si>
  <si>
    <t>0201040000</t>
  </si>
  <si>
    <t>0201050000</t>
  </si>
  <si>
    <t>0201990000</t>
  </si>
  <si>
    <t>0202000000</t>
  </si>
  <si>
    <t>0202010000</t>
  </si>
  <si>
    <t>0202020000</t>
  </si>
  <si>
    <t>0202030000</t>
  </si>
  <si>
    <t>0202040000</t>
  </si>
  <si>
    <t>0202050000</t>
  </si>
  <si>
    <t>0202990000</t>
  </si>
  <si>
    <t>0300000000</t>
  </si>
  <si>
    <t>0303000000</t>
  </si>
  <si>
    <t>0303020000</t>
  </si>
  <si>
    <t>0303990000</t>
  </si>
  <si>
    <t>0400000000</t>
  </si>
  <si>
    <t>0401000000</t>
  </si>
  <si>
    <t>0401010000</t>
  </si>
  <si>
    <t>0401020000</t>
  </si>
  <si>
    <t>0401030000</t>
  </si>
  <si>
    <t>0401040000</t>
  </si>
  <si>
    <t>0401050000</t>
  </si>
  <si>
    <t>0401060000</t>
  </si>
  <si>
    <t>0401070000</t>
  </si>
  <si>
    <t>0401080000</t>
  </si>
  <si>
    <t>0401090000</t>
  </si>
  <si>
    <t>0401100000</t>
  </si>
  <si>
    <t>0401110000</t>
  </si>
  <si>
    <t>0401120000</t>
  </si>
  <si>
    <t>0401130000</t>
  </si>
  <si>
    <t>0401140000</t>
  </si>
  <si>
    <t>0401150000</t>
  </si>
  <si>
    <t>0401160000</t>
  </si>
  <si>
    <t>0401170000</t>
  </si>
  <si>
    <t>0401180000</t>
  </si>
  <si>
    <t>0401190000</t>
  </si>
  <si>
    <t>0401200000</t>
  </si>
  <si>
    <t>0401210000</t>
  </si>
  <si>
    <t>0401220000</t>
  </si>
  <si>
    <t>0401230000</t>
  </si>
  <si>
    <t>0401990000</t>
  </si>
  <si>
    <t>0401990100</t>
  </si>
  <si>
    <t>0401990101</t>
  </si>
  <si>
    <t>0401990102</t>
  </si>
  <si>
    <t>0401999900</t>
  </si>
  <si>
    <t>0401999901</t>
  </si>
  <si>
    <t>0402000000</t>
  </si>
  <si>
    <t>0402010000</t>
  </si>
  <si>
    <t>0402020000</t>
  </si>
  <si>
    <t>0402030000</t>
  </si>
  <si>
    <t>0402040000</t>
  </si>
  <si>
    <t>0402990000</t>
  </si>
  <si>
    <t>0500000000</t>
  </si>
  <si>
    <t>0501000000</t>
  </si>
  <si>
    <t>0501010000</t>
  </si>
  <si>
    <t>0501020000</t>
  </si>
  <si>
    <t>0502000000</t>
  </si>
  <si>
    <t>0502010000</t>
  </si>
  <si>
    <t>0502020000</t>
  </si>
  <si>
    <t>0503000000</t>
  </si>
  <si>
    <t>0503010000</t>
  </si>
  <si>
    <t>0503030000</t>
  </si>
  <si>
    <t>0504000000</t>
  </si>
  <si>
    <t>0504010000</t>
  </si>
  <si>
    <t>0505000000</t>
  </si>
  <si>
    <t>0505010000</t>
  </si>
  <si>
    <t>0507000000</t>
  </si>
  <si>
    <t>0507010000</t>
  </si>
  <si>
    <t>0508000000</t>
  </si>
  <si>
    <t>0508010000</t>
  </si>
  <si>
    <t>0510000000</t>
  </si>
  <si>
    <t>0510010000</t>
  </si>
  <si>
    <t>0510020000</t>
  </si>
  <si>
    <t>0510030000</t>
  </si>
  <si>
    <t>0510040000</t>
  </si>
  <si>
    <t>0510050000</t>
  </si>
  <si>
    <t>0510990000</t>
  </si>
  <si>
    <t>0511000000</t>
  </si>
  <si>
    <t>0511010000</t>
  </si>
  <si>
    <t>0600000000</t>
  </si>
  <si>
    <t>0601000000</t>
  </si>
  <si>
    <t>0601010000</t>
  </si>
  <si>
    <t>0601020000</t>
  </si>
  <si>
    <t>0603000000</t>
  </si>
  <si>
    <t>0603010000</t>
  </si>
  <si>
    <t>0603070000</t>
  </si>
  <si>
    <t>0605000000</t>
  </si>
  <si>
    <t>0605020000</t>
  </si>
  <si>
    <t>0606000000</t>
  </si>
  <si>
    <t>0606010000</t>
  </si>
  <si>
    <t>0607000000</t>
  </si>
  <si>
    <t>0607010000</t>
  </si>
  <si>
    <t>0609000000</t>
  </si>
  <si>
    <t>0609010000</t>
  </si>
  <si>
    <t>0609050000</t>
  </si>
  <si>
    <t>0700000000</t>
  </si>
  <si>
    <t>0701000000</t>
  </si>
  <si>
    <t>0701010000</t>
  </si>
  <si>
    <t>0701020000</t>
  </si>
  <si>
    <t>0701030000</t>
  </si>
  <si>
    <t>0701040000</t>
  </si>
  <si>
    <t>0701050000</t>
  </si>
  <si>
    <t>0701060000</t>
  </si>
  <si>
    <t>0701070000</t>
  </si>
  <si>
    <t>0701080000</t>
  </si>
  <si>
    <t>0701090000</t>
  </si>
  <si>
    <t>0701100000</t>
  </si>
  <si>
    <t>0701990000</t>
  </si>
  <si>
    <t>0702000000</t>
  </si>
  <si>
    <t>0702010000</t>
  </si>
  <si>
    <t>0702020000</t>
  </si>
  <si>
    <t>0702030000</t>
  </si>
  <si>
    <t>0702040000</t>
  </si>
  <si>
    <t>0702050000</t>
  </si>
  <si>
    <t>0702060000</t>
  </si>
  <si>
    <t>0702070000</t>
  </si>
  <si>
    <t>0702080000</t>
  </si>
  <si>
    <t>0702090000</t>
  </si>
  <si>
    <t>0702990000</t>
  </si>
  <si>
    <t>0703000000</t>
  </si>
  <si>
    <t>0703010000</t>
  </si>
  <si>
    <t>0703020000</t>
  </si>
  <si>
    <t>0703990000</t>
  </si>
  <si>
    <t>0800000000</t>
  </si>
  <si>
    <t>0801000000</t>
  </si>
  <si>
    <t>0801010000</t>
  </si>
  <si>
    <t>0801020000</t>
  </si>
  <si>
    <t>0801030000</t>
  </si>
  <si>
    <t>0801990000</t>
  </si>
  <si>
    <t>0900000000</t>
  </si>
  <si>
    <t>0901000000</t>
  </si>
  <si>
    <t>0901010000</t>
  </si>
  <si>
    <t>0901020000</t>
  </si>
  <si>
    <t>0901030000</t>
  </si>
  <si>
    <t>0901040000</t>
  </si>
  <si>
    <t>0901050000</t>
  </si>
  <si>
    <t>0901060000</t>
  </si>
  <si>
    <t>0901070000</t>
  </si>
  <si>
    <t>0901080000</t>
  </si>
  <si>
    <t>0901090000</t>
  </si>
  <si>
    <t>0901100000</t>
  </si>
  <si>
    <t>0901110000</t>
  </si>
  <si>
    <t>0901120000</t>
  </si>
  <si>
    <t>0902000000</t>
  </si>
  <si>
    <t>0902010000</t>
  </si>
  <si>
    <t>0902020000</t>
  </si>
  <si>
    <t>0902030000</t>
  </si>
  <si>
    <t>0902040000</t>
  </si>
  <si>
    <t>0902050000</t>
  </si>
  <si>
    <t>0902060000</t>
  </si>
  <si>
    <t>0902070000</t>
  </si>
  <si>
    <t>0902080000</t>
  </si>
  <si>
    <t>0902090000</t>
  </si>
  <si>
    <t>0902100000</t>
  </si>
  <si>
    <t>0902110000</t>
  </si>
  <si>
    <t>0902120000</t>
  </si>
  <si>
    <t>0903000000</t>
  </si>
  <si>
    <t>0903010000</t>
  </si>
  <si>
    <t>0903020000</t>
  </si>
  <si>
    <t>0903030000</t>
  </si>
  <si>
    <t>0903040000</t>
  </si>
  <si>
    <t>0903050000</t>
  </si>
  <si>
    <t>0903060000</t>
  </si>
  <si>
    <t>0903070000</t>
  </si>
  <si>
    <t>0903080000</t>
  </si>
  <si>
    <t>0903090000</t>
  </si>
  <si>
    <t>0903100000</t>
  </si>
  <si>
    <t>0903110000</t>
  </si>
  <si>
    <t>0903120000</t>
  </si>
  <si>
    <t>0904000000</t>
  </si>
  <si>
    <t>0904010000</t>
  </si>
  <si>
    <t>0904020000</t>
  </si>
  <si>
    <t>0904030000</t>
  </si>
  <si>
    <t>0904040000</t>
  </si>
  <si>
    <t>0904050000</t>
  </si>
  <si>
    <t>0904060000</t>
  </si>
  <si>
    <t>0904070000</t>
  </si>
  <si>
    <t>0904080000</t>
  </si>
  <si>
    <t>0904090000</t>
  </si>
  <si>
    <t>0904100000</t>
  </si>
  <si>
    <t>0904110000</t>
  </si>
  <si>
    <t>0904120000</t>
  </si>
  <si>
    <t>1000000000</t>
  </si>
  <si>
    <t>1001000000</t>
  </si>
  <si>
    <t>1001010000</t>
  </si>
  <si>
    <t>1001020000</t>
  </si>
  <si>
    <t>1003000000</t>
  </si>
  <si>
    <t>1003010000</t>
  </si>
  <si>
    <t>1003080000</t>
  </si>
  <si>
    <t>1004000000</t>
  </si>
  <si>
    <t>1004010000</t>
  </si>
  <si>
    <t>1009000000</t>
  </si>
  <si>
    <t>1009010000</t>
  </si>
  <si>
    <t>1009030000</t>
  </si>
  <si>
    <t>1009040000</t>
  </si>
  <si>
    <t>1100000000</t>
  </si>
  <si>
    <t>1105000000</t>
  </si>
  <si>
    <t>1105010000</t>
  </si>
  <si>
    <t>1105090000</t>
  </si>
  <si>
    <t>1105100000</t>
  </si>
  <si>
    <t>1106000000</t>
  </si>
  <si>
    <t>1106010000</t>
  </si>
  <si>
    <t>1106090000</t>
  </si>
  <si>
    <t>1106100000</t>
  </si>
  <si>
    <t>1107000000</t>
  </si>
  <si>
    <t>1107010000</t>
  </si>
  <si>
    <t>1110000000</t>
  </si>
  <si>
    <t>1110990000</t>
  </si>
  <si>
    <t>1200000000</t>
  </si>
  <si>
    <t>1205000000</t>
  </si>
  <si>
    <t>1205020000</t>
  </si>
  <si>
    <t>1205030000</t>
  </si>
  <si>
    <t>ADMINISTRAÇÃO PÚBLICA - ADMINISTRAÇÃO CENTRAL - ESTADO</t>
  </si>
  <si>
    <t>1205110000</t>
  </si>
  <si>
    <t>1205120000</t>
  </si>
  <si>
    <t>1206000000</t>
  </si>
  <si>
    <t>1206020000</t>
  </si>
  <si>
    <t>1206030000</t>
  </si>
  <si>
    <t>1206110000</t>
  </si>
  <si>
    <t>1206120000</t>
  </si>
  <si>
    <t>1300000000</t>
  </si>
  <si>
    <t>1301000000</t>
  </si>
  <si>
    <t>1301010000</t>
  </si>
  <si>
    <t>1301020000</t>
  </si>
  <si>
    <t>1301990000</t>
  </si>
  <si>
    <t>1500000000</t>
  </si>
  <si>
    <t>1501000000</t>
  </si>
  <si>
    <t>1501010000</t>
  </si>
  <si>
    <t>1600000000</t>
  </si>
  <si>
    <t>1601000000</t>
  </si>
  <si>
    <t>1601040000</t>
  </si>
  <si>
    <t>1701000000</t>
  </si>
  <si>
    <t>1701020000</t>
  </si>
  <si>
    <t>1701040000</t>
  </si>
  <si>
    <t>1701060000</t>
  </si>
  <si>
    <t>1702000000</t>
  </si>
  <si>
    <t>1702010000</t>
  </si>
  <si>
    <t>30</t>
  </si>
  <si>
    <t>1702300000</t>
  </si>
  <si>
    <t>TRANSFERÊNCIAS DO INE PARA O SREA</t>
  </si>
  <si>
    <t>71</t>
  </si>
  <si>
    <t>1702710000</t>
  </si>
  <si>
    <t>FUNDO EUROPEU DA AGRICULTURA E DESENVOLVIMENTO</t>
  </si>
  <si>
    <t>78</t>
  </si>
  <si>
    <t>1702780000</t>
  </si>
  <si>
    <t>PRIME - SIVETUR</t>
  </si>
  <si>
    <t>80</t>
  </si>
  <si>
    <t>1702800000</t>
  </si>
  <si>
    <t>82</t>
  </si>
  <si>
    <t>1702820000</t>
  </si>
  <si>
    <t>83</t>
  </si>
  <si>
    <t>84</t>
  </si>
  <si>
    <t>85</t>
  </si>
  <si>
    <t>1702830000</t>
  </si>
  <si>
    <t>1702840000</t>
  </si>
  <si>
    <t>1702850000</t>
  </si>
  <si>
    <t>FEOGA</t>
  </si>
  <si>
    <t>IFOP</t>
  </si>
  <si>
    <t>32</t>
  </si>
  <si>
    <t>33</t>
  </si>
  <si>
    <t>34</t>
  </si>
  <si>
    <t>1702320000</t>
  </si>
  <si>
    <t>1702330000</t>
  </si>
  <si>
    <t>1702340000</t>
  </si>
  <si>
    <t>PREJUIZOS CAUSADOS PELOS TEMPORAIS</t>
  </si>
  <si>
    <t>PROMOÇÃO DE PRODUTOS DOS AÇORES NOS EUA</t>
  </si>
  <si>
    <t>TRANSFERENCIAS FUNDO DESEMPREGO PARA CUSTOS</t>
  </si>
  <si>
    <t>PRIME - OUTROS</t>
  </si>
  <si>
    <t>FUNDO EUROPEU DAS PESCAS (FEP)</t>
  </si>
  <si>
    <t>FISCALIZAÇÃO</t>
  </si>
  <si>
    <t>A577</t>
  </si>
  <si>
    <t>Centro de Qualificação dos Açores, I.P.R.A.</t>
  </si>
  <si>
    <t>Fundo Escolar da Escola Básica e Secundária Armando Côrtes–Rodrigues</t>
  </si>
  <si>
    <t>A083-DREAE</t>
  </si>
  <si>
    <t>Direção Regional dos Assuntos Europeus e Cooperação Externa</t>
  </si>
  <si>
    <t xml:space="preserve"> Escola Básica e Secundária Armando Côrtes–Rodrigues</t>
  </si>
  <si>
    <t>Gabinete do Secretário Regional das Finanças, Planeamento e Administração Pública</t>
  </si>
  <si>
    <t>Gabinete do Secretário Regional do Mar e das Pescas</t>
  </si>
  <si>
    <t>Inspeção Regional das Pescas e de Usos Marítimos</t>
  </si>
  <si>
    <t>Gabinete SRSSS - Inspeção Regional da Saúde</t>
  </si>
  <si>
    <t>Gabinete da Secretária Regional do Turismos, Mobilidade e Infraestruturas</t>
  </si>
  <si>
    <t>Gabinete do Vicepresidente do Governo Regional</t>
  </si>
  <si>
    <t>GUIA</t>
  </si>
  <si>
    <t xml:space="preserve">SECRETARIA REGIONAL DOS ASSUNTOS PARLAMENTARES E COMUNIDADES </t>
  </si>
  <si>
    <t>SECRETARIA REGIONAL FINANÇAS PLANEAMENTO E ADMINISTRAÇÃO PÚBLICA</t>
  </si>
  <si>
    <t>1700000000</t>
  </si>
  <si>
    <t>OPERAÇÕES EXTRAORÇAMENTAIS</t>
  </si>
  <si>
    <t>Versão 10.1 - 30/06/2024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</si>
</sst>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0.00;[Red]#,##0.00"/>
    <numFmt numFmtId="167" formatCode="#,##0.00\ [$€-1];[Red]#,##0.00\ [$€-1]"/>
    <numFmt numFmtId="168" formatCode="[$-816]d\ &quot;de&quot;\ mmmm\ &quot;de&quot;\ yyyy;@"/>
  </numFmts>
  <fonts count="35" x14ac:knownFonts="1">
    <font>
      <sz val="10"/>
      <name val="Arial"/>
    </font>
    <font>
      <sz val="10"/>
      <name val="Arial"/>
      <family val="2"/>
    </font>
    <font>
      <b/>
      <sz val="10"/>
      <name val="Arial"/>
      <family val="2"/>
    </font>
    <font>
      <b/>
      <sz val="9"/>
      <color indexed="81"/>
      <name val="Tahoma"/>
      <family val="2"/>
    </font>
    <font>
      <sz val="10"/>
      <name val="Calibri"/>
      <family val="2"/>
      <scheme val="minor"/>
    </font>
    <font>
      <b/>
      <sz val="10"/>
      <name val="Calibri"/>
      <family val="2"/>
      <scheme val="minor"/>
    </font>
    <font>
      <sz val="13.5"/>
      <name val="Calibri"/>
      <family val="2"/>
      <scheme val="minor"/>
    </font>
    <font>
      <b/>
      <i/>
      <sz val="11"/>
      <name val="Calibri"/>
      <family val="2"/>
      <scheme val="minor"/>
    </font>
    <font>
      <b/>
      <i/>
      <sz val="10"/>
      <name val="Calibri"/>
      <family val="2"/>
      <scheme val="minor"/>
    </font>
    <font>
      <sz val="10.5"/>
      <name val="Calibri"/>
      <family val="2"/>
      <scheme val="minor"/>
    </font>
    <font>
      <b/>
      <i/>
      <sz val="9"/>
      <name val="Calibri"/>
      <family val="2"/>
      <scheme val="minor"/>
    </font>
    <font>
      <sz val="9"/>
      <name val="Calibri"/>
      <family val="2"/>
      <scheme val="minor"/>
    </font>
    <font>
      <sz val="8"/>
      <name val="Calibri"/>
      <family val="2"/>
      <scheme val="minor"/>
    </font>
    <font>
      <b/>
      <i/>
      <sz val="8"/>
      <name val="Calibri"/>
      <family val="2"/>
      <scheme val="minor"/>
    </font>
    <font>
      <sz val="10"/>
      <color rgb="FFFF0000"/>
      <name val="Calibri"/>
      <family val="2"/>
      <scheme val="minor"/>
    </font>
    <font>
      <i/>
      <sz val="10"/>
      <name val="Calibri"/>
      <family val="2"/>
      <scheme val="minor"/>
    </font>
    <font>
      <sz val="10"/>
      <color theme="1"/>
      <name val="Arial"/>
      <family val="2"/>
    </font>
    <font>
      <b/>
      <i/>
      <sz val="10"/>
      <name val="Arial"/>
      <family val="2"/>
    </font>
    <font>
      <i/>
      <sz val="9"/>
      <name val="Arial"/>
      <family val="2"/>
    </font>
    <font>
      <b/>
      <sz val="11"/>
      <name val="Calibri"/>
      <family val="2"/>
      <scheme val="minor"/>
    </font>
    <font>
      <i/>
      <sz val="11"/>
      <name val="Calibri"/>
      <family val="2"/>
      <scheme val="minor"/>
    </font>
    <font>
      <sz val="9"/>
      <name val="Arial"/>
      <family val="2"/>
    </font>
    <font>
      <sz val="8"/>
      <color rgb="FF000000"/>
      <name val="Segoe UI"/>
      <family val="2"/>
    </font>
    <font>
      <i/>
      <sz val="9"/>
      <color theme="1"/>
      <name val="Arial"/>
      <family val="2"/>
    </font>
    <font>
      <b/>
      <i/>
      <sz val="10"/>
      <color theme="1"/>
      <name val="Arial"/>
      <family val="2"/>
    </font>
    <font>
      <sz val="10"/>
      <color theme="9" tint="0.79998168889431442"/>
      <name val="Arial"/>
      <family val="2"/>
    </font>
    <font>
      <sz val="9"/>
      <color indexed="81"/>
      <name val="Tahoma"/>
      <family val="2"/>
    </font>
    <font>
      <sz val="8"/>
      <name val="Arial"/>
      <family val="2"/>
    </font>
    <font>
      <b/>
      <sz val="10"/>
      <color theme="5" tint="-0.499984740745262"/>
      <name val="Arial"/>
      <family val="2"/>
    </font>
    <font>
      <sz val="14"/>
      <name val="Calibri"/>
      <family val="2"/>
      <scheme val="minor"/>
    </font>
    <font>
      <sz val="11"/>
      <name val="Calibri"/>
      <family val="2"/>
    </font>
    <font>
      <b/>
      <sz val="11"/>
      <name val="Arial"/>
      <family val="2"/>
    </font>
    <font>
      <b/>
      <sz val="10"/>
      <color theme="1"/>
      <name val="Arial"/>
      <family val="2"/>
    </font>
    <font>
      <sz val="8"/>
      <color indexed="81"/>
      <name val="Tahoma"/>
      <family val="2"/>
    </font>
    <font>
      <sz val="10"/>
      <color theme="5" tint="-0.499984740745262"/>
      <name val="Arial"/>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149998474074526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bottom/>
      <diagonal/>
    </border>
  </borders>
  <cellStyleXfs count="2">
    <xf numFmtId="0" fontId="0" fillId="0" borderId="0"/>
    <xf numFmtId="0" fontId="1" fillId="0" borderId="0"/>
  </cellStyleXfs>
  <cellXfs count="328">
    <xf numFmtId="0" fontId="0" fillId="0" borderId="0" xfId="0"/>
    <xf numFmtId="0" fontId="2"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66" fontId="2" fillId="2" borderId="1" xfId="0" applyNumberFormat="1" applyFont="1" applyFill="1" applyBorder="1" applyProtection="1">
      <protection locked="0"/>
    </xf>
    <xf numFmtId="0" fontId="1" fillId="0" borderId="0" xfId="0" applyFont="1"/>
    <xf numFmtId="0" fontId="4" fillId="0" borderId="0" xfId="0" applyFont="1"/>
    <xf numFmtId="0" fontId="4" fillId="0" borderId="0" xfId="0" applyFont="1" applyProtection="1">
      <protection hidden="1"/>
    </xf>
    <xf numFmtId="4" fontId="4" fillId="0" borderId="0" xfId="0" applyNumberFormat="1" applyFont="1"/>
    <xf numFmtId="0" fontId="4" fillId="0" borderId="0" xfId="0" applyFont="1" applyAlignment="1">
      <alignment horizontal="center"/>
    </xf>
    <xf numFmtId="0" fontId="5" fillId="0" borderId="0" xfId="0" applyFont="1" applyProtection="1">
      <protection hidden="1"/>
    </xf>
    <xf numFmtId="0" fontId="5" fillId="0" borderId="0" xfId="0" applyFont="1" applyAlignment="1" applyProtection="1">
      <alignment horizontal="center"/>
      <protection hidden="1"/>
    </xf>
    <xf numFmtId="0" fontId="4" fillId="0" borderId="0" xfId="0" applyFont="1" applyAlignment="1">
      <alignment vertical="center"/>
    </xf>
    <xf numFmtId="0" fontId="4"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center" vertical="center"/>
    </xf>
    <xf numFmtId="164" fontId="4" fillId="0" borderId="0" xfId="0" applyNumberFormat="1" applyFont="1" applyAlignment="1">
      <alignment horizontal="center"/>
    </xf>
    <xf numFmtId="0" fontId="4" fillId="0" borderId="11" xfId="0" applyFont="1" applyBorder="1"/>
    <xf numFmtId="0" fontId="4" fillId="0" borderId="2" xfId="0" applyFont="1" applyBorder="1"/>
    <xf numFmtId="166" fontId="4" fillId="0" borderId="0" xfId="0" applyNumberFormat="1" applyFont="1" applyAlignment="1">
      <alignment horizontal="center"/>
    </xf>
    <xf numFmtId="0" fontId="12" fillId="0" borderId="3" xfId="0" applyFont="1" applyBorder="1"/>
    <xf numFmtId="0" fontId="13" fillId="0" borderId="3" xfId="0" applyFont="1" applyBorder="1" applyAlignment="1">
      <alignment horizontal="right"/>
    </xf>
    <xf numFmtId="0" fontId="12" fillId="0" borderId="0" xfId="0" applyFont="1" applyAlignment="1">
      <alignment horizontal="center"/>
    </xf>
    <xf numFmtId="0" fontId="12" fillId="0" borderId="0" xfId="0" applyFont="1"/>
    <xf numFmtId="0" fontId="4" fillId="0" borderId="0" xfId="0" applyFont="1" applyAlignment="1" applyProtection="1">
      <alignment horizontal="left" vertical="center"/>
      <protection hidden="1"/>
    </xf>
    <xf numFmtId="0" fontId="4" fillId="0" borderId="0" xfId="0" applyFont="1" applyAlignment="1">
      <alignment horizontal="left"/>
    </xf>
    <xf numFmtId="0" fontId="4" fillId="0" borderId="12" xfId="0" applyFont="1" applyBorder="1"/>
    <xf numFmtId="4" fontId="4" fillId="0" borderId="12" xfId="0" applyNumberFormat="1" applyFont="1" applyBorder="1"/>
    <xf numFmtId="49" fontId="4" fillId="0" borderId="0" xfId="0" applyNumberFormat="1" applyFont="1" applyAlignment="1">
      <alignment horizontal="right"/>
    </xf>
    <xf numFmtId="0" fontId="5" fillId="0" borderId="0" xfId="0" applyFont="1" applyAlignment="1">
      <alignment horizontal="left"/>
    </xf>
    <xf numFmtId="0" fontId="15" fillId="0" borderId="0" xfId="0" applyFont="1"/>
    <xf numFmtId="0" fontId="6" fillId="0" borderId="0" xfId="0" applyFont="1" applyAlignment="1" applyProtection="1">
      <alignment horizontal="center" vertical="center"/>
      <protection hidden="1"/>
    </xf>
    <xf numFmtId="0" fontId="8" fillId="0" borderId="2" xfId="0" applyFont="1" applyBorder="1" applyAlignment="1" applyProtection="1">
      <alignment horizontal="right"/>
      <protection hidden="1"/>
    </xf>
    <xf numFmtId="14" fontId="0" fillId="0" borderId="0" xfId="0" applyNumberFormat="1" applyAlignment="1">
      <alignment horizontal="left"/>
    </xf>
    <xf numFmtId="0" fontId="4" fillId="0" borderId="0" xfId="0" applyFont="1" applyAlignment="1" applyProtection="1">
      <alignment vertical="center"/>
      <protection hidden="1"/>
    </xf>
    <xf numFmtId="0" fontId="4" fillId="0" borderId="0" xfId="0" applyFont="1" applyAlignment="1" applyProtection="1">
      <alignment horizontal="right" vertical="center"/>
      <protection hidden="1"/>
    </xf>
    <xf numFmtId="0" fontId="0" fillId="4" borderId="0" xfId="0" applyFill="1"/>
    <xf numFmtId="166" fontId="4" fillId="0" borderId="0" xfId="0" applyNumberFormat="1" applyFont="1"/>
    <xf numFmtId="0" fontId="13" fillId="0" borderId="0" xfId="0" applyFont="1"/>
    <xf numFmtId="0" fontId="4" fillId="0" borderId="0" xfId="0" applyFont="1" applyAlignment="1" applyProtection="1">
      <alignment horizontal="right"/>
      <protection hidden="1"/>
    </xf>
    <xf numFmtId="0" fontId="4" fillId="0" borderId="8" xfId="0" applyFont="1" applyBorder="1" applyAlignment="1">
      <alignment horizontal="center"/>
    </xf>
    <xf numFmtId="0" fontId="0" fillId="6" borderId="0" xfId="0" applyFill="1" applyAlignment="1">
      <alignment vertical="center"/>
    </xf>
    <xf numFmtId="0" fontId="1" fillId="7" borderId="1" xfId="0" quotePrefix="1" applyFont="1" applyFill="1" applyBorder="1" applyAlignment="1">
      <alignment horizontal="center" vertical="center" wrapText="1"/>
    </xf>
    <xf numFmtId="0" fontId="0" fillId="3" borderId="0" xfId="0" applyFill="1" applyAlignment="1">
      <alignment vertical="center" wrapText="1"/>
    </xf>
    <xf numFmtId="0" fontId="0" fillId="7" borderId="0" xfId="0" applyFill="1" applyAlignment="1">
      <alignment vertical="center" wrapText="1"/>
    </xf>
    <xf numFmtId="0" fontId="1" fillId="3" borderId="0" xfId="0" applyFont="1" applyFill="1" applyAlignment="1">
      <alignment vertical="center" wrapText="1"/>
    </xf>
    <xf numFmtId="0" fontId="0" fillId="0" borderId="0" xfId="0" applyAlignment="1">
      <alignment vertical="center" wrapText="1"/>
    </xf>
    <xf numFmtId="0" fontId="0" fillId="6" borderId="15" xfId="0" applyFill="1" applyBorder="1" applyAlignment="1">
      <alignment vertical="center" wrapText="1"/>
    </xf>
    <xf numFmtId="0" fontId="0" fillId="6" borderId="13" xfId="0" applyFill="1" applyBorder="1" applyAlignment="1">
      <alignment vertical="center" wrapText="1"/>
    </xf>
    <xf numFmtId="0" fontId="0" fillId="6" borderId="16" xfId="0" applyFill="1" applyBorder="1" applyAlignment="1">
      <alignment vertical="center" wrapText="1"/>
    </xf>
    <xf numFmtId="0" fontId="0" fillId="8" borderId="15" xfId="0" applyFill="1" applyBorder="1" applyAlignment="1">
      <alignment vertical="center" wrapText="1"/>
    </xf>
    <xf numFmtId="0" fontId="0" fillId="8" borderId="13" xfId="0" applyFill="1" applyBorder="1" applyAlignment="1">
      <alignment vertical="center" wrapText="1"/>
    </xf>
    <xf numFmtId="0" fontId="0" fillId="8" borderId="16" xfId="0" applyFill="1" applyBorder="1" applyAlignment="1">
      <alignment vertical="center" wrapText="1"/>
    </xf>
    <xf numFmtId="0" fontId="0" fillId="6" borderId="17" xfId="0" applyFill="1" applyBorder="1" applyAlignment="1">
      <alignment vertical="center" wrapText="1"/>
    </xf>
    <xf numFmtId="0" fontId="0" fillId="6" borderId="0" xfId="0" applyFill="1" applyAlignment="1">
      <alignment vertical="center" wrapText="1"/>
    </xf>
    <xf numFmtId="0" fontId="0" fillId="6" borderId="18" xfId="0" applyFill="1" applyBorder="1" applyAlignment="1">
      <alignment vertical="center" wrapText="1"/>
    </xf>
    <xf numFmtId="0" fontId="0" fillId="8" borderId="17" xfId="0" applyFill="1" applyBorder="1" applyAlignment="1">
      <alignment vertical="center" wrapText="1"/>
    </xf>
    <xf numFmtId="0" fontId="17" fillId="9" borderId="1" xfId="0" applyFont="1" applyFill="1" applyBorder="1" applyAlignment="1">
      <alignment horizontal="center" vertical="center" wrapText="1"/>
    </xf>
    <xf numFmtId="0" fontId="0" fillId="8" borderId="0" xfId="0" applyFill="1" applyAlignment="1">
      <alignment vertical="center" wrapText="1"/>
    </xf>
    <xf numFmtId="0" fontId="0" fillId="8" borderId="18" xfId="0" applyFill="1" applyBorder="1" applyAlignment="1">
      <alignment vertical="center" wrapText="1"/>
    </xf>
    <xf numFmtId="0" fontId="0" fillId="6" borderId="19" xfId="0" applyFill="1" applyBorder="1" applyAlignment="1">
      <alignment vertical="center" wrapText="1"/>
    </xf>
    <xf numFmtId="0" fontId="0" fillId="6" borderId="12" xfId="0" applyFill="1" applyBorder="1" applyAlignment="1">
      <alignment vertical="center" wrapText="1"/>
    </xf>
    <xf numFmtId="0" fontId="0" fillId="6" borderId="20" xfId="0" applyFill="1" applyBorder="1" applyAlignment="1">
      <alignment vertical="center" wrapText="1"/>
    </xf>
    <xf numFmtId="0" fontId="0" fillId="11" borderId="0" xfId="0" applyFill="1" applyAlignment="1" applyProtection="1">
      <alignment vertical="center" wrapText="1"/>
      <protection locked="0"/>
    </xf>
    <xf numFmtId="0" fontId="18" fillId="6" borderId="13" xfId="0" applyFont="1" applyFill="1" applyBorder="1" applyAlignment="1">
      <alignment vertical="center" wrapText="1"/>
    </xf>
    <xf numFmtId="168" fontId="1" fillId="3" borderId="0" xfId="0" applyNumberFormat="1" applyFont="1" applyFill="1" applyAlignment="1">
      <alignment vertical="center" wrapText="1"/>
    </xf>
    <xf numFmtId="168" fontId="0" fillId="6" borderId="18" xfId="0" applyNumberFormat="1" applyFill="1" applyBorder="1" applyAlignment="1">
      <alignment vertical="center" wrapText="1"/>
    </xf>
    <xf numFmtId="0" fontId="1" fillId="7" borderId="1" xfId="0" applyFont="1" applyFill="1" applyBorder="1" applyAlignment="1" applyProtection="1">
      <alignment horizontal="center" vertical="center" wrapText="1"/>
      <protection locked="0"/>
    </xf>
    <xf numFmtId="0" fontId="0" fillId="5" borderId="15" xfId="0" applyFill="1" applyBorder="1" applyAlignment="1">
      <alignment vertical="center" wrapText="1"/>
    </xf>
    <xf numFmtId="0" fontId="0" fillId="5" borderId="13" xfId="0" applyFill="1" applyBorder="1" applyAlignment="1">
      <alignment vertical="center" wrapText="1"/>
    </xf>
    <xf numFmtId="0" fontId="0" fillId="5" borderId="16" xfId="0" applyFill="1" applyBorder="1" applyAlignment="1">
      <alignment vertical="center" wrapText="1"/>
    </xf>
    <xf numFmtId="0" fontId="0" fillId="5" borderId="17" xfId="0" applyFill="1" applyBorder="1" applyAlignment="1">
      <alignment vertical="center" wrapText="1"/>
    </xf>
    <xf numFmtId="0" fontId="17" fillId="10" borderId="1" xfId="0" applyFont="1" applyFill="1" applyBorder="1" applyAlignment="1">
      <alignment horizontal="center" vertical="center" wrapText="1"/>
    </xf>
    <xf numFmtId="0" fontId="0" fillId="5" borderId="18" xfId="0" applyFill="1" applyBorder="1" applyAlignment="1">
      <alignment vertical="center" wrapText="1"/>
    </xf>
    <xf numFmtId="0" fontId="0" fillId="13" borderId="15" xfId="0" applyFill="1" applyBorder="1" applyAlignment="1">
      <alignment vertical="center" wrapText="1"/>
    </xf>
    <xf numFmtId="0" fontId="0" fillId="13" borderId="13" xfId="0" applyFill="1" applyBorder="1" applyAlignment="1">
      <alignment vertical="center" wrapText="1"/>
    </xf>
    <xf numFmtId="0" fontId="0" fillId="13" borderId="16" xfId="0" applyFill="1" applyBorder="1" applyAlignment="1">
      <alignment vertical="center" wrapText="1"/>
    </xf>
    <xf numFmtId="0" fontId="0" fillId="13" borderId="17" xfId="0" applyFill="1" applyBorder="1" applyAlignment="1">
      <alignment vertical="center" wrapText="1"/>
    </xf>
    <xf numFmtId="0" fontId="17" fillId="14" borderId="1" xfId="0" applyFont="1" applyFill="1" applyBorder="1" applyAlignment="1">
      <alignment horizontal="center" vertical="center" wrapText="1"/>
    </xf>
    <xf numFmtId="0" fontId="17" fillId="14" borderId="0" xfId="0" applyFont="1" applyFill="1" applyAlignment="1">
      <alignment horizontal="center" vertical="center" wrapText="1"/>
    </xf>
    <xf numFmtId="0" fontId="0" fillId="13" borderId="18" xfId="0" applyFill="1" applyBorder="1" applyAlignment="1">
      <alignment vertical="center" wrapText="1"/>
    </xf>
    <xf numFmtId="0" fontId="0" fillId="13" borderId="1" xfId="0" applyFill="1" applyBorder="1" applyAlignment="1">
      <alignment vertical="center" wrapText="1"/>
    </xf>
    <xf numFmtId="0" fontId="1" fillId="13" borderId="1" xfId="0" applyFont="1" applyFill="1" applyBorder="1" applyAlignment="1">
      <alignment vertical="center" wrapText="1"/>
    </xf>
    <xf numFmtId="0" fontId="1" fillId="13" borderId="0" xfId="0" applyFont="1" applyFill="1" applyAlignment="1">
      <alignment vertical="center" wrapText="1"/>
    </xf>
    <xf numFmtId="0" fontId="0" fillId="5" borderId="19" xfId="0" applyFill="1" applyBorder="1" applyAlignment="1">
      <alignment vertical="center" wrapText="1"/>
    </xf>
    <xf numFmtId="0" fontId="0" fillId="5" borderId="12" xfId="0" applyFill="1" applyBorder="1" applyAlignment="1">
      <alignment vertical="center" wrapText="1"/>
    </xf>
    <xf numFmtId="0" fontId="0" fillId="5" borderId="20" xfId="0" applyFill="1" applyBorder="1" applyAlignment="1">
      <alignment vertical="center" wrapText="1"/>
    </xf>
    <xf numFmtId="0" fontId="16" fillId="7" borderId="1" xfId="0" applyFont="1" applyFill="1" applyBorder="1" applyAlignment="1">
      <alignment vertical="center" wrapText="1"/>
    </xf>
    <xf numFmtId="0" fontId="0" fillId="13" borderId="19" xfId="0" applyFill="1" applyBorder="1" applyAlignment="1">
      <alignment vertical="center" wrapText="1"/>
    </xf>
    <xf numFmtId="0" fontId="0" fillId="13" borderId="12" xfId="0" applyFill="1" applyBorder="1" applyAlignment="1">
      <alignment vertical="center" wrapText="1"/>
    </xf>
    <xf numFmtId="0" fontId="0" fillId="13" borderId="20" xfId="0" applyFill="1" applyBorder="1" applyAlignment="1">
      <alignment vertical="center" wrapText="1"/>
    </xf>
    <xf numFmtId="0" fontId="0" fillId="12" borderId="15" xfId="0" applyFill="1" applyBorder="1" applyAlignment="1">
      <alignment vertical="center" wrapText="1"/>
    </xf>
    <xf numFmtId="0" fontId="0" fillId="12" borderId="13" xfId="0" applyFill="1" applyBorder="1" applyAlignment="1">
      <alignment vertical="center" wrapText="1"/>
    </xf>
    <xf numFmtId="0" fontId="0" fillId="12" borderId="16" xfId="0" applyFill="1" applyBorder="1" applyAlignment="1">
      <alignment vertical="center" wrapText="1"/>
    </xf>
    <xf numFmtId="0" fontId="0" fillId="12" borderId="17" xfId="0" applyFill="1" applyBorder="1" applyAlignment="1">
      <alignment vertical="center" wrapText="1"/>
    </xf>
    <xf numFmtId="0" fontId="0" fillId="12" borderId="18" xfId="0" applyFill="1" applyBorder="1" applyAlignment="1">
      <alignment vertical="center" wrapText="1"/>
    </xf>
    <xf numFmtId="0" fontId="0" fillId="12" borderId="19" xfId="0" applyFill="1" applyBorder="1" applyAlignment="1">
      <alignment vertical="center" wrapText="1"/>
    </xf>
    <xf numFmtId="0" fontId="0" fillId="12" borderId="12" xfId="0" applyFill="1" applyBorder="1" applyAlignment="1">
      <alignment vertical="center" wrapText="1"/>
    </xf>
    <xf numFmtId="0" fontId="0" fillId="12" borderId="20" xfId="0" applyFill="1" applyBorder="1" applyAlignment="1">
      <alignment vertical="center" wrapText="1"/>
    </xf>
    <xf numFmtId="0" fontId="0" fillId="8" borderId="19" xfId="0" applyFill="1" applyBorder="1" applyAlignment="1">
      <alignment vertical="center" wrapText="1"/>
    </xf>
    <xf numFmtId="0" fontId="0" fillId="8" borderId="12" xfId="0" applyFill="1" applyBorder="1" applyAlignment="1">
      <alignment vertical="center" wrapText="1"/>
    </xf>
    <xf numFmtId="0" fontId="0" fillId="8" borderId="20" xfId="0" applyFill="1" applyBorder="1" applyAlignment="1">
      <alignment vertical="center" wrapText="1"/>
    </xf>
    <xf numFmtId="0" fontId="17"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8" fillId="3" borderId="0" xfId="0" applyFont="1" applyFill="1" applyAlignment="1">
      <alignment wrapText="1"/>
    </xf>
    <xf numFmtId="0" fontId="0" fillId="0" borderId="0" xfId="0" applyAlignment="1">
      <alignment vertical="center"/>
    </xf>
    <xf numFmtId="0" fontId="0" fillId="0" borderId="0" xfId="0" applyAlignment="1">
      <alignment horizontal="center" vertical="center"/>
    </xf>
    <xf numFmtId="0" fontId="18" fillId="6" borderId="0" xfId="0" applyFont="1" applyFill="1" applyAlignment="1">
      <alignment wrapText="1"/>
    </xf>
    <xf numFmtId="0" fontId="0" fillId="3" borderId="0" xfId="0" applyFill="1" applyAlignment="1" applyProtection="1">
      <alignment vertical="center" wrapText="1"/>
      <protection locked="0"/>
    </xf>
    <xf numFmtId="0" fontId="1" fillId="0" borderId="0" xfId="0" applyFont="1" applyAlignment="1">
      <alignment vertical="center"/>
    </xf>
    <xf numFmtId="0" fontId="16" fillId="7" borderId="1" xfId="0" quotePrefix="1" applyFont="1" applyFill="1" applyBorder="1" applyAlignment="1">
      <alignment vertical="center" wrapText="1"/>
    </xf>
    <xf numFmtId="0" fontId="16" fillId="7" borderId="1" xfId="0" applyFont="1" applyFill="1" applyBorder="1" applyAlignment="1">
      <alignment horizontal="center" vertical="center" wrapText="1"/>
    </xf>
    <xf numFmtId="0" fontId="16" fillId="3" borderId="0" xfId="0" applyFont="1" applyFill="1" applyAlignment="1">
      <alignment vertical="center" wrapText="1"/>
    </xf>
    <xf numFmtId="0" fontId="23" fillId="3" borderId="0" xfId="0" applyFont="1" applyFill="1" applyAlignment="1">
      <alignment wrapText="1"/>
    </xf>
    <xf numFmtId="0" fontId="16" fillId="8" borderId="13" xfId="0" applyFont="1" applyFill="1" applyBorder="1" applyAlignment="1">
      <alignment vertical="center" wrapText="1"/>
    </xf>
    <xf numFmtId="0" fontId="24" fillId="9" borderId="1" xfId="0" applyFont="1" applyFill="1" applyBorder="1" applyAlignment="1">
      <alignment horizontal="center" vertical="center" wrapText="1"/>
    </xf>
    <xf numFmtId="0" fontId="16" fillId="3" borderId="1" xfId="0" applyFont="1" applyFill="1" applyBorder="1" applyAlignment="1">
      <alignment vertical="center" wrapText="1"/>
    </xf>
    <xf numFmtId="0" fontId="16" fillId="8" borderId="12" xfId="0" applyFont="1" applyFill="1" applyBorder="1" applyAlignment="1">
      <alignment vertical="center" wrapText="1"/>
    </xf>
    <xf numFmtId="49" fontId="16" fillId="7" borderId="1" xfId="0" quotePrefix="1" applyNumberFormat="1" applyFont="1" applyFill="1" applyBorder="1" applyAlignment="1">
      <alignment horizontal="center" vertical="center" wrapText="1"/>
    </xf>
    <xf numFmtId="3" fontId="20" fillId="0" borderId="0" xfId="0" applyNumberFormat="1" applyFont="1" applyAlignment="1">
      <alignment vertical="center"/>
    </xf>
    <xf numFmtId="3" fontId="15" fillId="0" borderId="0" xfId="0" applyNumberFormat="1" applyFont="1" applyAlignment="1">
      <alignment horizontal="center" vertical="center"/>
    </xf>
    <xf numFmtId="0" fontId="8" fillId="0" borderId="0" xfId="0" applyFont="1" applyAlignment="1">
      <alignment horizontal="left" vertical="center" wrapText="1"/>
    </xf>
    <xf numFmtId="3" fontId="10" fillId="0" borderId="0" xfId="0" applyNumberFormat="1" applyFont="1" applyAlignment="1">
      <alignment horizontal="center" vertical="center"/>
    </xf>
    <xf numFmtId="0" fontId="18" fillId="3" borderId="12" xfId="0" applyFont="1" applyFill="1" applyBorder="1" applyAlignment="1">
      <alignment horizontal="left" wrapText="1"/>
    </xf>
    <xf numFmtId="0" fontId="25" fillId="8" borderId="13" xfId="0" applyFont="1" applyFill="1" applyBorder="1" applyAlignment="1">
      <alignment vertical="center" wrapText="1"/>
    </xf>
    <xf numFmtId="0" fontId="21" fillId="7" borderId="1" xfId="0" quotePrefix="1" applyFont="1" applyFill="1" applyBorder="1" applyAlignment="1">
      <alignment vertical="center" wrapText="1"/>
    </xf>
    <xf numFmtId="49" fontId="1" fillId="0" borderId="0" xfId="0" applyNumberFormat="1" applyFont="1" applyAlignment="1">
      <alignment horizontal="center"/>
    </xf>
    <xf numFmtId="49" fontId="0" fillId="0" borderId="0" xfId="0" applyNumberFormat="1" applyAlignment="1">
      <alignment horizontal="center"/>
    </xf>
    <xf numFmtId="49" fontId="0" fillId="0" borderId="0" xfId="0" applyNumberFormat="1"/>
    <xf numFmtId="49" fontId="1" fillId="0" borderId="0" xfId="0" quotePrefix="1" applyNumberFormat="1" applyFont="1" applyAlignment="1">
      <alignment horizontal="center"/>
    </xf>
    <xf numFmtId="49" fontId="1" fillId="0" borderId="0" xfId="0" applyNumberFormat="1" applyFont="1"/>
    <xf numFmtId="164" fontId="11" fillId="0" borderId="22" xfId="0" applyNumberFormat="1" applyFont="1" applyBorder="1" applyAlignment="1" applyProtection="1">
      <alignment horizontal="center" vertical="top"/>
      <protection locked="0"/>
    </xf>
    <xf numFmtId="0" fontId="11" fillId="0" borderId="24" xfId="0" applyFont="1" applyBorder="1" applyAlignment="1" applyProtection="1">
      <alignment vertical="top" wrapText="1"/>
      <protection hidden="1"/>
    </xf>
    <xf numFmtId="164" fontId="11" fillId="0" borderId="24" xfId="0" applyNumberFormat="1" applyFont="1" applyBorder="1" applyAlignment="1">
      <alignment horizontal="center" vertical="top" wrapText="1"/>
    </xf>
    <xf numFmtId="164" fontId="11" fillId="0" borderId="26" xfId="0" applyNumberFormat="1" applyFont="1" applyBorder="1" applyAlignment="1">
      <alignment horizontal="center"/>
    </xf>
    <xf numFmtId="164" fontId="11" fillId="0" borderId="23" xfId="0" applyNumberFormat="1" applyFont="1" applyBorder="1" applyAlignment="1">
      <alignment vertical="top"/>
    </xf>
    <xf numFmtId="0" fontId="11" fillId="0" borderId="26" xfId="0" applyFont="1" applyBorder="1" applyProtection="1">
      <protection locked="0" hidden="1"/>
    </xf>
    <xf numFmtId="0" fontId="8" fillId="8" borderId="0" xfId="0" applyFont="1" applyFill="1" applyAlignment="1">
      <alignment horizontal="center" vertical="center"/>
    </xf>
    <xf numFmtId="164" fontId="4" fillId="8" borderId="0" xfId="0" applyNumberFormat="1" applyFont="1" applyFill="1" applyAlignment="1">
      <alignment horizontal="center"/>
    </xf>
    <xf numFmtId="164" fontId="4" fillId="8" borderId="0" xfId="0" applyNumberFormat="1" applyFont="1" applyFill="1" applyAlignment="1">
      <alignment horizontal="left"/>
    </xf>
    <xf numFmtId="0" fontId="8" fillId="15" borderId="0" xfId="0" applyFont="1" applyFill="1" applyAlignment="1">
      <alignment horizontal="center" vertical="center"/>
    </xf>
    <xf numFmtId="165" fontId="4" fillId="15" borderId="0" xfId="0" applyNumberFormat="1" applyFont="1" applyFill="1" applyAlignment="1">
      <alignment horizontal="center"/>
    </xf>
    <xf numFmtId="165" fontId="4" fillId="15" borderId="0" xfId="0" applyNumberFormat="1" applyFont="1" applyFill="1" applyAlignment="1">
      <alignment horizontal="left"/>
    </xf>
    <xf numFmtId="0" fontId="8" fillId="13" borderId="0" xfId="0" applyFont="1" applyFill="1" applyAlignment="1">
      <alignment horizontal="center" vertical="center"/>
    </xf>
    <xf numFmtId="0" fontId="4" fillId="13" borderId="0" xfId="0" applyFont="1" applyFill="1" applyAlignment="1">
      <alignment horizontal="center"/>
    </xf>
    <xf numFmtId="0" fontId="4" fillId="13" borderId="0" xfId="0" applyFont="1" applyFill="1" applyAlignment="1">
      <alignment horizontal="left"/>
    </xf>
    <xf numFmtId="0" fontId="8" fillId="6" borderId="0" xfId="0" applyFont="1" applyFill="1" applyAlignment="1">
      <alignment horizontal="center" vertical="center"/>
    </xf>
    <xf numFmtId="0" fontId="4" fillId="6" borderId="0" xfId="0" applyFont="1" applyFill="1" applyAlignment="1">
      <alignment horizontal="center"/>
    </xf>
    <xf numFmtId="0" fontId="4" fillId="6" borderId="0" xfId="0" applyFont="1" applyFill="1" applyAlignment="1">
      <alignment horizontal="left"/>
    </xf>
    <xf numFmtId="0" fontId="8" fillId="16" borderId="0" xfId="0" applyFont="1" applyFill="1" applyAlignment="1">
      <alignment horizontal="center" vertical="center"/>
    </xf>
    <xf numFmtId="0" fontId="4" fillId="16" borderId="0" xfId="0" applyFont="1" applyFill="1" applyAlignment="1">
      <alignment horizontal="center"/>
    </xf>
    <xf numFmtId="0" fontId="4" fillId="16" borderId="0" xfId="0" applyFont="1" applyFill="1"/>
    <xf numFmtId="0" fontId="4" fillId="16" borderId="0" xfId="0" applyFont="1" applyFill="1" applyAlignment="1">
      <alignment horizontal="left"/>
    </xf>
    <xf numFmtId="0" fontId="8" fillId="17" borderId="0" xfId="0" applyFont="1" applyFill="1" applyAlignment="1">
      <alignment horizontal="center" vertical="center"/>
    </xf>
    <xf numFmtId="164" fontId="4" fillId="17" borderId="0" xfId="0" applyNumberFormat="1" applyFont="1" applyFill="1" applyAlignment="1">
      <alignment horizontal="center"/>
    </xf>
    <xf numFmtId="0" fontId="8" fillId="11" borderId="0" xfId="0" applyFont="1" applyFill="1" applyAlignment="1">
      <alignment horizontal="center" vertical="center"/>
    </xf>
    <xf numFmtId="164" fontId="4" fillId="11" borderId="0" xfId="0" applyNumberFormat="1" applyFont="1" applyFill="1" applyAlignment="1">
      <alignment horizontal="center"/>
    </xf>
    <xf numFmtId="164" fontId="4" fillId="11" borderId="0" xfId="0" applyNumberFormat="1" applyFont="1" applyFill="1" applyAlignment="1">
      <alignment horizontal="left"/>
    </xf>
    <xf numFmtId="0" fontId="10" fillId="0" borderId="29"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protection hidden="1"/>
    </xf>
    <xf numFmtId="0" fontId="10" fillId="0" borderId="30" xfId="0" applyFont="1" applyBorder="1" applyAlignment="1" applyProtection="1">
      <alignment horizontal="center" vertical="center" wrapText="1"/>
      <protection hidden="1"/>
    </xf>
    <xf numFmtId="0" fontId="1" fillId="8" borderId="0" xfId="0" applyFont="1" applyFill="1"/>
    <xf numFmtId="0" fontId="1" fillId="8" borderId="1" xfId="0" applyFont="1" applyFill="1" applyBorder="1" applyAlignment="1">
      <alignment horizontal="center"/>
    </xf>
    <xf numFmtId="0" fontId="1" fillId="8" borderId="1" xfId="0" applyFont="1" applyFill="1" applyBorder="1"/>
    <xf numFmtId="0" fontId="0" fillId="8" borderId="1" xfId="0" applyFill="1" applyBorder="1"/>
    <xf numFmtId="0" fontId="1" fillId="8" borderId="0" xfId="0" quotePrefix="1" applyFont="1" applyFill="1" applyAlignment="1">
      <alignment horizontal="center"/>
    </xf>
    <xf numFmtId="0" fontId="0" fillId="8" borderId="0" xfId="0" applyFill="1"/>
    <xf numFmtId="0" fontId="0" fillId="8" borderId="0" xfId="0" quotePrefix="1" applyFill="1" applyAlignment="1">
      <alignment horizontal="center"/>
    </xf>
    <xf numFmtId="0" fontId="1" fillId="8" borderId="1" xfId="0" quotePrefix="1" applyFont="1" applyFill="1" applyBorder="1" applyAlignment="1">
      <alignment horizontal="center"/>
    </xf>
    <xf numFmtId="0" fontId="1" fillId="15" borderId="0" xfId="0" applyFont="1" applyFill="1"/>
    <xf numFmtId="0" fontId="1" fillId="15" borderId="1" xfId="0" applyFont="1" applyFill="1" applyBorder="1" applyAlignment="1">
      <alignment horizontal="center"/>
    </xf>
    <xf numFmtId="0" fontId="1" fillId="15" borderId="1" xfId="0" applyFont="1" applyFill="1" applyBorder="1"/>
    <xf numFmtId="0" fontId="0" fillId="15" borderId="1" xfId="0" applyFill="1" applyBorder="1"/>
    <xf numFmtId="0" fontId="1" fillId="15" borderId="1" xfId="0" quotePrefix="1" applyFont="1" applyFill="1" applyBorder="1" applyAlignment="1">
      <alignment horizontal="center"/>
    </xf>
    <xf numFmtId="0" fontId="0" fillId="15" borderId="0" xfId="0" applyFill="1"/>
    <xf numFmtId="0" fontId="1" fillId="13" borderId="0" xfId="0" applyFont="1" applyFill="1"/>
    <xf numFmtId="0" fontId="1" fillId="13" borderId="1" xfId="0" applyFont="1" applyFill="1" applyBorder="1" applyAlignment="1">
      <alignment horizontal="center"/>
    </xf>
    <xf numFmtId="0" fontId="1" fillId="13" borderId="1" xfId="0" applyFont="1" applyFill="1" applyBorder="1"/>
    <xf numFmtId="0" fontId="0" fillId="13" borderId="1" xfId="0" applyFill="1" applyBorder="1"/>
    <xf numFmtId="0" fontId="1" fillId="13" borderId="1" xfId="0" quotePrefix="1" applyFont="1" applyFill="1" applyBorder="1" applyAlignment="1">
      <alignment horizontal="center"/>
    </xf>
    <xf numFmtId="0" fontId="0" fillId="13" borderId="0" xfId="0" applyFill="1"/>
    <xf numFmtId="0" fontId="1" fillId="13" borderId="0" xfId="0" quotePrefix="1" applyFont="1" applyFill="1" applyAlignment="1">
      <alignment horizontal="center"/>
    </xf>
    <xf numFmtId="0" fontId="0" fillId="13" borderId="0" xfId="0" quotePrefix="1" applyFill="1" applyAlignment="1">
      <alignment horizontal="center"/>
    </xf>
    <xf numFmtId="0" fontId="1" fillId="13" borderId="14" xfId="0" applyFont="1" applyFill="1" applyBorder="1" applyAlignment="1">
      <alignment horizontal="center"/>
    </xf>
    <xf numFmtId="0" fontId="1" fillId="13" borderId="11" xfId="0" applyFont="1" applyFill="1" applyBorder="1"/>
    <xf numFmtId="0" fontId="0" fillId="13" borderId="11" xfId="0" applyFill="1" applyBorder="1"/>
    <xf numFmtId="0" fontId="1" fillId="15" borderId="5" xfId="0" applyFont="1" applyFill="1" applyBorder="1"/>
    <xf numFmtId="0" fontId="0" fillId="15" borderId="6" xfId="0" applyFill="1" applyBorder="1"/>
    <xf numFmtId="0" fontId="0" fillId="15" borderId="10" xfId="0" applyFill="1" applyBorder="1"/>
    <xf numFmtId="0" fontId="1" fillId="15" borderId="5" xfId="0" quotePrefix="1" applyFont="1" applyFill="1" applyBorder="1" applyAlignment="1">
      <alignment horizontal="center"/>
    </xf>
    <xf numFmtId="0" fontId="0" fillId="15" borderId="5" xfId="0" quotePrefix="1" applyFill="1" applyBorder="1" applyAlignment="1">
      <alignment horizontal="center"/>
    </xf>
    <xf numFmtId="0" fontId="0" fillId="15" borderId="5" xfId="0" applyFill="1" applyBorder="1"/>
    <xf numFmtId="0" fontId="1" fillId="6" borderId="0" xfId="0" applyFont="1" applyFill="1"/>
    <xf numFmtId="0" fontId="1" fillId="6" borderId="1" xfId="0" applyFont="1" applyFill="1" applyBorder="1"/>
    <xf numFmtId="0" fontId="0" fillId="6" borderId="1" xfId="0" applyFill="1" applyBorder="1"/>
    <xf numFmtId="0" fontId="1" fillId="6" borderId="1" xfId="0" quotePrefix="1" applyFont="1" applyFill="1" applyBorder="1" applyAlignment="1">
      <alignment horizontal="center"/>
    </xf>
    <xf numFmtId="0" fontId="1" fillId="6" borderId="14" xfId="0" applyFont="1" applyFill="1" applyBorder="1" applyAlignment="1">
      <alignment horizontal="center"/>
    </xf>
    <xf numFmtId="0" fontId="0" fillId="6" borderId="11" xfId="0" applyFill="1" applyBorder="1"/>
    <xf numFmtId="0" fontId="0" fillId="6" borderId="0" xfId="0" applyFill="1"/>
    <xf numFmtId="0" fontId="1" fillId="6" borderId="0" xfId="0" quotePrefix="1" applyFont="1" applyFill="1" applyAlignment="1">
      <alignment horizontal="center"/>
    </xf>
    <xf numFmtId="0" fontId="0" fillId="6" borderId="0" xfId="0" quotePrefix="1" applyFill="1" applyAlignment="1">
      <alignment horizontal="center"/>
    </xf>
    <xf numFmtId="0" fontId="1" fillId="5" borderId="0" xfId="0" applyFont="1" applyFill="1"/>
    <xf numFmtId="0" fontId="1" fillId="5" borderId="1" xfId="0" applyFont="1" applyFill="1" applyBorder="1" applyAlignment="1">
      <alignment horizontal="center"/>
    </xf>
    <xf numFmtId="0" fontId="1" fillId="5" borderId="1" xfId="0" applyFont="1" applyFill="1" applyBorder="1"/>
    <xf numFmtId="0" fontId="1" fillId="5" borderId="11" xfId="0" applyFont="1" applyFill="1" applyBorder="1"/>
    <xf numFmtId="0" fontId="0" fillId="5" borderId="1" xfId="0" applyFill="1" applyBorder="1"/>
    <xf numFmtId="0" fontId="1" fillId="5" borderId="1" xfId="0" quotePrefix="1" applyFont="1" applyFill="1" applyBorder="1" applyAlignment="1">
      <alignment horizontal="center"/>
    </xf>
    <xf numFmtId="0" fontId="1" fillId="5" borderId="14" xfId="0" applyFont="1" applyFill="1" applyBorder="1" applyAlignment="1">
      <alignment horizontal="center"/>
    </xf>
    <xf numFmtId="0" fontId="0" fillId="5" borderId="11" xfId="0" applyFill="1" applyBorder="1"/>
    <xf numFmtId="0" fontId="0" fillId="5" borderId="0" xfId="0" applyFill="1"/>
    <xf numFmtId="0" fontId="1" fillId="5" borderId="0" xfId="0" quotePrefix="1" applyFont="1" applyFill="1" applyAlignment="1">
      <alignment horizontal="center"/>
    </xf>
    <xf numFmtId="0" fontId="0" fillId="5" borderId="0" xfId="0" quotePrefix="1" applyFill="1" applyAlignment="1">
      <alignment horizontal="center"/>
    </xf>
    <xf numFmtId="0" fontId="1" fillId="6" borderId="32" xfId="0" applyFont="1" applyFill="1" applyBorder="1"/>
    <xf numFmtId="0" fontId="1" fillId="6" borderId="32" xfId="0" applyFont="1" applyFill="1" applyBorder="1" applyAlignment="1">
      <alignment horizontal="center"/>
    </xf>
    <xf numFmtId="0" fontId="1" fillId="6" borderId="7" xfId="0" applyFont="1" applyFill="1" applyBorder="1"/>
    <xf numFmtId="0" fontId="1" fillId="7" borderId="5" xfId="0" applyFont="1" applyFill="1" applyBorder="1"/>
    <xf numFmtId="0" fontId="1" fillId="7" borderId="0" xfId="0" applyFont="1" applyFill="1" applyAlignment="1">
      <alignment horizontal="center"/>
    </xf>
    <xf numFmtId="0" fontId="1" fillId="7" borderId="0" xfId="0" applyFont="1" applyFill="1"/>
    <xf numFmtId="0" fontId="1" fillId="7" borderId="6" xfId="0" applyFont="1" applyFill="1" applyBorder="1"/>
    <xf numFmtId="0" fontId="2" fillId="0" borderId="0" xfId="0" applyFont="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49" fontId="0" fillId="0" borderId="0" xfId="0" applyNumberFormat="1" applyAlignment="1">
      <alignment vertical="center"/>
    </xf>
    <xf numFmtId="49" fontId="28" fillId="0" borderId="0" xfId="0" quotePrefix="1"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Alignment="1">
      <alignment horizontal="center" vertical="center"/>
    </xf>
    <xf numFmtId="0" fontId="29" fillId="0" borderId="0" xfId="0" applyFont="1"/>
    <xf numFmtId="0" fontId="16" fillId="0" borderId="1" xfId="0" applyFont="1" applyBorder="1" applyAlignment="1">
      <alignment horizontal="center" vertical="center" wrapText="1"/>
    </xf>
    <xf numFmtId="0" fontId="5" fillId="0" borderId="8" xfId="0" applyFont="1" applyBorder="1" applyAlignment="1">
      <alignment horizontal="left" vertical="center"/>
    </xf>
    <xf numFmtId="0" fontId="31" fillId="8" borderId="15" xfId="0" applyFont="1" applyFill="1" applyBorder="1"/>
    <xf numFmtId="0" fontId="0" fillId="8" borderId="13" xfId="0" applyFill="1" applyBorder="1"/>
    <xf numFmtId="0" fontId="0" fillId="8" borderId="16" xfId="0" applyFill="1" applyBorder="1"/>
    <xf numFmtId="0" fontId="0" fillId="8" borderId="17" xfId="0" applyFill="1" applyBorder="1"/>
    <xf numFmtId="0" fontId="0" fillId="8" borderId="18" xfId="0" applyFill="1" applyBorder="1"/>
    <xf numFmtId="0" fontId="30" fillId="8" borderId="0" xfId="0" applyFont="1" applyFill="1" applyAlignment="1">
      <alignment vertical="center"/>
    </xf>
    <xf numFmtId="0" fontId="30" fillId="8" borderId="0" xfId="0" quotePrefix="1" applyFont="1" applyFill="1" applyAlignment="1">
      <alignment horizontal="left" vertical="center" indent="1"/>
    </xf>
    <xf numFmtId="0" fontId="30" fillId="8" borderId="0" xfId="0" applyFont="1" applyFill="1"/>
    <xf numFmtId="0" fontId="0" fillId="8" borderId="19" xfId="0" applyFill="1" applyBorder="1"/>
    <xf numFmtId="0" fontId="0" fillId="8" borderId="12" xfId="0" applyFill="1" applyBorder="1"/>
    <xf numFmtId="0" fontId="0" fillId="8" borderId="20" xfId="0" applyFill="1" applyBorder="1"/>
    <xf numFmtId="0" fontId="0" fillId="0" borderId="1" xfId="0" applyBorder="1" applyAlignment="1">
      <alignment vertical="center"/>
    </xf>
    <xf numFmtId="49" fontId="0" fillId="0" borderId="33" xfId="0" applyNumberFormat="1" applyBorder="1" applyAlignment="1">
      <alignment horizontal="center" vertical="center"/>
    </xf>
    <xf numFmtId="0" fontId="21" fillId="0" borderId="34" xfId="0" applyFont="1" applyBorder="1" applyAlignment="1">
      <alignment vertical="center" wrapText="1"/>
    </xf>
    <xf numFmtId="49" fontId="0" fillId="0" borderId="35" xfId="0" applyNumberFormat="1" applyBorder="1" applyAlignment="1">
      <alignment horizontal="center" vertical="center"/>
    </xf>
    <xf numFmtId="0" fontId="0" fillId="0" borderId="36" xfId="0" applyBorder="1" applyAlignment="1">
      <alignment vertical="center"/>
    </xf>
    <xf numFmtId="0" fontId="21" fillId="0" borderId="37" xfId="0" applyFont="1" applyBorder="1" applyAlignment="1">
      <alignment vertical="center" wrapText="1"/>
    </xf>
    <xf numFmtId="49" fontId="0" fillId="0" borderId="38" xfId="0" applyNumberFormat="1" applyBorder="1" applyAlignment="1">
      <alignment horizontal="center" vertical="center"/>
    </xf>
    <xf numFmtId="0" fontId="0" fillId="0" borderId="39" xfId="0" applyBorder="1" applyAlignment="1">
      <alignment vertical="center"/>
    </xf>
    <xf numFmtId="0" fontId="21" fillId="0" borderId="40" xfId="0" applyFont="1" applyBorder="1" applyAlignment="1">
      <alignment vertical="center" wrapText="1"/>
    </xf>
    <xf numFmtId="49" fontId="1" fillId="0" borderId="41" xfId="0" quotePrefix="1" applyNumberFormat="1" applyFont="1" applyBorder="1" applyAlignment="1">
      <alignment horizontal="center" vertical="center"/>
    </xf>
    <xf numFmtId="0" fontId="2" fillId="0" borderId="32" xfId="0" applyFont="1" applyBorder="1" applyAlignment="1">
      <alignment vertical="center"/>
    </xf>
    <xf numFmtId="0" fontId="21" fillId="0" borderId="42" xfId="0" applyFont="1" applyBorder="1" applyAlignment="1">
      <alignment vertical="center" wrapText="1"/>
    </xf>
    <xf numFmtId="0" fontId="21" fillId="0" borderId="43" xfId="0" applyFont="1" applyBorder="1" applyAlignment="1">
      <alignment vertical="center" wrapText="1"/>
    </xf>
    <xf numFmtId="49" fontId="0" fillId="0" borderId="44" xfId="0" applyNumberFormat="1" applyBorder="1" applyAlignment="1">
      <alignment horizontal="center" vertical="center"/>
    </xf>
    <xf numFmtId="0" fontId="2" fillId="0" borderId="45" xfId="0" applyFont="1" applyBorder="1" applyAlignment="1">
      <alignment vertical="center"/>
    </xf>
    <xf numFmtId="0" fontId="32" fillId="0" borderId="38" xfId="0" applyFont="1" applyBorder="1" applyAlignment="1">
      <alignment horizontal="center" vertical="center"/>
    </xf>
    <xf numFmtId="0" fontId="32" fillId="0" borderId="39" xfId="0" applyFont="1" applyBorder="1" applyAlignment="1">
      <alignment horizontal="center" vertical="center"/>
    </xf>
    <xf numFmtId="0" fontId="32" fillId="0" borderId="40" xfId="0" applyFont="1" applyBorder="1" applyAlignment="1">
      <alignment horizontal="center" vertical="center"/>
    </xf>
    <xf numFmtId="3" fontId="11" fillId="0" borderId="8" xfId="0" applyNumberFormat="1" applyFont="1" applyBorder="1" applyAlignment="1" applyProtection="1">
      <alignment horizontal="center" vertical="center"/>
      <protection locked="0"/>
    </xf>
    <xf numFmtId="0" fontId="16" fillId="7" borderId="46" xfId="0" applyFont="1" applyFill="1" applyBorder="1" applyAlignment="1">
      <alignment vertical="center" wrapText="1"/>
    </xf>
    <xf numFmtId="49" fontId="16" fillId="0" borderId="0" xfId="0" applyNumberFormat="1" applyFont="1" applyAlignment="1">
      <alignment horizontal="center" vertical="center"/>
    </xf>
    <xf numFmtId="49" fontId="16" fillId="0" borderId="0" xfId="0" quotePrefix="1" applyNumberFormat="1" applyFont="1" applyAlignment="1">
      <alignment horizontal="center" vertical="center"/>
    </xf>
    <xf numFmtId="49" fontId="16" fillId="0" borderId="0" xfId="0" applyNumberFormat="1" applyFont="1" applyAlignment="1">
      <alignment vertical="center"/>
    </xf>
    <xf numFmtId="49" fontId="16" fillId="0" borderId="0" xfId="0" applyNumberFormat="1" applyFont="1" applyAlignment="1">
      <alignment horizontal="left" vertical="center"/>
    </xf>
    <xf numFmtId="49" fontId="34" fillId="0" borderId="0" xfId="0" quotePrefix="1" applyNumberFormat="1" applyFont="1" applyAlignment="1">
      <alignment horizontal="center" vertical="center"/>
    </xf>
    <xf numFmtId="49" fontId="34" fillId="0" borderId="0" xfId="0" applyNumberFormat="1" applyFont="1" applyAlignment="1">
      <alignment horizontal="center" vertical="center"/>
    </xf>
    <xf numFmtId="49" fontId="34" fillId="0" borderId="0" xfId="0" applyNumberFormat="1" applyFont="1" applyAlignment="1">
      <alignment vertical="center"/>
    </xf>
    <xf numFmtId="49" fontId="34" fillId="0" borderId="0" xfId="0" applyNumberFormat="1" applyFont="1" applyAlignment="1">
      <alignment horizontal="left" vertical="center"/>
    </xf>
    <xf numFmtId="49" fontId="1" fillId="0" borderId="0" xfId="0" applyNumberFormat="1" applyFont="1" applyAlignment="1">
      <alignment vertical="center"/>
    </xf>
    <xf numFmtId="0" fontId="12" fillId="0" borderId="0" xfId="0" applyFont="1" applyAlignment="1" applyProtection="1">
      <alignment horizontal="justify"/>
      <protection hidden="1"/>
    </xf>
    <xf numFmtId="0" fontId="4" fillId="0" borderId="8" xfId="0" applyFont="1" applyBorder="1" applyAlignment="1">
      <alignment horizontal="left" wrapText="1"/>
    </xf>
    <xf numFmtId="0" fontId="12" fillId="0" borderId="13" xfId="0" applyFont="1" applyBorder="1" applyAlignment="1" applyProtection="1">
      <alignment horizontal="left"/>
      <protection hidden="1"/>
    </xf>
    <xf numFmtId="0" fontId="13" fillId="0" borderId="3" xfId="0" applyFont="1" applyBorder="1" applyAlignment="1">
      <alignment horizontal="right"/>
    </xf>
    <xf numFmtId="4" fontId="10" fillId="0" borderId="30" xfId="0" applyNumberFormat="1" applyFont="1" applyBorder="1" applyAlignment="1" applyProtection="1">
      <alignment horizontal="center" vertical="center" wrapText="1"/>
      <protection hidden="1"/>
    </xf>
    <xf numFmtId="4" fontId="10" fillId="0" borderId="31" xfId="0" applyNumberFormat="1" applyFont="1" applyBorder="1" applyAlignment="1" applyProtection="1">
      <alignment horizontal="center" vertical="center" wrapText="1"/>
      <protection hidden="1"/>
    </xf>
    <xf numFmtId="4" fontId="8" fillId="0" borderId="0" xfId="0" applyNumberFormat="1" applyFont="1" applyAlignment="1" applyProtection="1">
      <alignment horizontal="right" vertical="center"/>
      <protection hidden="1"/>
    </xf>
    <xf numFmtId="0" fontId="14" fillId="0" borderId="12" xfId="0" applyFont="1" applyBorder="1" applyAlignment="1">
      <alignment horizontal="center"/>
    </xf>
    <xf numFmtId="0" fontId="4" fillId="0" borderId="0" xfId="0" applyFont="1" applyAlignment="1">
      <alignment horizontal="left" vertical="top" wrapText="1"/>
    </xf>
    <xf numFmtId="167" fontId="8" fillId="0" borderId="2" xfId="0" applyNumberFormat="1" applyFont="1" applyBorder="1" applyAlignment="1" applyProtection="1">
      <alignment horizontal="right"/>
      <protection hidden="1"/>
    </xf>
    <xf numFmtId="167" fontId="8" fillId="0" borderId="14" xfId="0" applyNumberFormat="1" applyFont="1" applyBorder="1" applyAlignment="1" applyProtection="1">
      <alignment horizontal="right"/>
      <protection hidden="1"/>
    </xf>
    <xf numFmtId="0" fontId="4" fillId="0" borderId="0" xfId="0" applyFont="1" applyAlignment="1">
      <alignment horizontal="center"/>
    </xf>
    <xf numFmtId="0" fontId="4" fillId="0" borderId="0" xfId="0" applyFont="1" applyAlignment="1">
      <alignment horizontal="left"/>
    </xf>
    <xf numFmtId="0" fontId="4" fillId="0" borderId="0" xfId="0" applyFont="1" applyAlignment="1">
      <alignment horizontal="center" vertical="center"/>
    </xf>
    <xf numFmtId="0" fontId="5" fillId="0" borderId="0" xfId="0" applyFont="1" applyAlignment="1">
      <alignment horizontal="center" wrapText="1"/>
    </xf>
    <xf numFmtId="166" fontId="4" fillId="0" borderId="25" xfId="0" applyNumberFormat="1" applyFont="1" applyBorder="1" applyAlignment="1" applyProtection="1">
      <alignment horizontal="right"/>
      <protection locked="0"/>
    </xf>
    <xf numFmtId="166" fontId="4" fillId="0" borderId="4" xfId="0" applyNumberFormat="1" applyFont="1" applyBorder="1" applyAlignment="1" applyProtection="1">
      <alignment horizontal="right"/>
      <protection locked="0"/>
    </xf>
    <xf numFmtId="166" fontId="4" fillId="0" borderId="27" xfId="0" applyNumberFormat="1" applyFont="1" applyBorder="1" applyAlignment="1" applyProtection="1">
      <alignment horizontal="right"/>
      <protection locked="0"/>
    </xf>
    <xf numFmtId="166" fontId="4" fillId="0" borderId="28" xfId="0" applyNumberFormat="1" applyFont="1" applyBorder="1" applyAlignment="1" applyProtection="1">
      <alignment horizontal="right"/>
      <protection locked="0"/>
    </xf>
    <xf numFmtId="0" fontId="4" fillId="0" borderId="0" xfId="0" applyFont="1" applyAlignment="1" applyProtection="1">
      <alignment horizontal="center"/>
      <protection hidden="1"/>
    </xf>
    <xf numFmtId="167" fontId="7" fillId="0" borderId="8" xfId="0" applyNumberFormat="1" applyFont="1" applyBorder="1" applyAlignment="1" applyProtection="1">
      <alignment horizontal="right"/>
      <protection hidden="1"/>
    </xf>
    <xf numFmtId="0" fontId="5" fillId="0" borderId="8" xfId="0" applyFont="1" applyBorder="1" applyAlignment="1" applyProtection="1">
      <alignment horizontal="left" vertical="center" wrapText="1"/>
      <protection locked="0"/>
    </xf>
    <xf numFmtId="0" fontId="5" fillId="0" borderId="0" xfId="0" applyFont="1" applyAlignment="1" applyProtection="1">
      <alignment horizontal="justify" vertical="top" wrapText="1"/>
      <protection locked="0"/>
    </xf>
    <xf numFmtId="3" fontId="5" fillId="0" borderId="2" xfId="0" applyNumberFormat="1" applyFont="1" applyBorder="1" applyAlignment="1">
      <alignment horizontal="left" vertical="center"/>
    </xf>
    <xf numFmtId="3" fontId="5" fillId="0" borderId="8" xfId="0" applyNumberFormat="1"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justify" vertical="top" wrapText="1"/>
    </xf>
    <xf numFmtId="3" fontId="19" fillId="0" borderId="8" xfId="0" applyNumberFormat="1" applyFont="1" applyBorder="1" applyAlignment="1" applyProtection="1">
      <alignment horizontal="center"/>
      <protection locked="0"/>
    </xf>
    <xf numFmtId="3" fontId="5" fillId="0" borderId="2" xfId="0" applyNumberFormat="1" applyFont="1" applyBorder="1" applyAlignment="1" applyProtection="1">
      <alignment horizontal="left" vertical="center"/>
      <protection locked="0"/>
    </xf>
    <xf numFmtId="0" fontId="5" fillId="0" borderId="2" xfId="0" applyFont="1" applyBorder="1" applyAlignment="1">
      <alignment horizontal="center" vertical="center"/>
    </xf>
    <xf numFmtId="0" fontId="18" fillId="3" borderId="12" xfId="0" applyFont="1" applyFill="1" applyBorder="1" applyAlignment="1">
      <alignment horizontal="left" wrapText="1"/>
    </xf>
    <xf numFmtId="0" fontId="1" fillId="6" borderId="0" xfId="0" applyFont="1" applyFill="1" applyAlignment="1">
      <alignment horizontal="right" vertical="center" wrapText="1"/>
    </xf>
    <xf numFmtId="0" fontId="1" fillId="6" borderId="6" xfId="0" applyFont="1" applyFill="1" applyBorder="1" applyAlignment="1">
      <alignment horizontal="right" vertical="center" wrapText="1"/>
    </xf>
    <xf numFmtId="0" fontId="1" fillId="7" borderId="11" xfId="0" quotePrefix="1" applyFont="1" applyFill="1" applyBorder="1" applyAlignment="1">
      <alignment horizontal="left" vertical="center" wrapText="1"/>
    </xf>
    <xf numFmtId="0" fontId="1" fillId="7" borderId="2" xfId="0" quotePrefix="1" applyFont="1" applyFill="1" applyBorder="1" applyAlignment="1">
      <alignment horizontal="left" vertical="center" wrapText="1"/>
    </xf>
    <xf numFmtId="0" fontId="1" fillId="7" borderId="14" xfId="0" quotePrefix="1" applyFont="1" applyFill="1" applyBorder="1" applyAlignment="1">
      <alignment horizontal="left" vertical="center" wrapText="1"/>
    </xf>
    <xf numFmtId="0" fontId="0" fillId="6" borderId="0" xfId="0" applyFill="1" applyAlignment="1">
      <alignment horizontal="right" vertical="center" wrapText="1"/>
    </xf>
    <xf numFmtId="0" fontId="0" fillId="6" borderId="6" xfId="0" applyFill="1" applyBorder="1" applyAlignment="1">
      <alignment horizontal="right" vertical="center" wrapText="1"/>
    </xf>
    <xf numFmtId="14" fontId="1" fillId="7" borderId="1" xfId="0" applyNumberFormat="1" applyFont="1" applyFill="1" applyBorder="1" applyAlignment="1" applyProtection="1">
      <alignment horizontal="center" vertical="center" wrapText="1"/>
      <protection locked="0"/>
    </xf>
    <xf numFmtId="14" fontId="0" fillId="7" borderId="1" xfId="0" applyNumberFormat="1" applyFill="1" applyBorder="1" applyAlignment="1" applyProtection="1">
      <alignment horizontal="center" vertical="center" wrapText="1"/>
      <protection locked="0"/>
    </xf>
    <xf numFmtId="0" fontId="17" fillId="10" borderId="11"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8" fillId="6" borderId="21" xfId="0" applyFont="1" applyFill="1" applyBorder="1" applyAlignment="1">
      <alignment horizontal="center" wrapText="1"/>
    </xf>
    <xf numFmtId="0" fontId="1" fillId="6" borderId="12" xfId="0" applyFont="1" applyFill="1" applyBorder="1" applyAlignment="1">
      <alignment vertical="top" wrapText="1"/>
    </xf>
    <xf numFmtId="0" fontId="18" fillId="6" borderId="3" xfId="0" applyFont="1" applyFill="1" applyBorder="1" applyAlignment="1">
      <alignment horizontal="left" wrapText="1"/>
    </xf>
    <xf numFmtId="0" fontId="1" fillId="12" borderId="1" xfId="0" applyFont="1" applyFill="1" applyBorder="1" applyAlignment="1">
      <alignment horizontal="left" vertical="center" wrapText="1"/>
    </xf>
    <xf numFmtId="0" fontId="18" fillId="3" borderId="0" xfId="0" applyFont="1" applyFill="1" applyAlignment="1">
      <alignment horizontal="left" wrapText="1"/>
    </xf>
    <xf numFmtId="0" fontId="17" fillId="12" borderId="1" xfId="0" applyFont="1" applyFill="1" applyBorder="1" applyAlignment="1">
      <alignment horizontal="center" vertical="center" wrapText="1"/>
    </xf>
    <xf numFmtId="0" fontId="2" fillId="0" borderId="11" xfId="0" applyFont="1" applyBorder="1" applyAlignment="1">
      <alignment horizontal="center"/>
    </xf>
    <xf numFmtId="0" fontId="2" fillId="0" borderId="14" xfId="0" applyFont="1" applyBorder="1" applyAlignment="1">
      <alignment horizontal="center"/>
    </xf>
    <xf numFmtId="0" fontId="0" fillId="0" borderId="0" xfId="0" applyAlignment="1">
      <alignment horizontal="left"/>
    </xf>
    <xf numFmtId="0" fontId="2" fillId="0" borderId="2" xfId="0" applyFont="1" applyBorder="1" applyAlignment="1">
      <alignment horizontal="center"/>
    </xf>
  </cellXfs>
  <cellStyles count="2">
    <cellStyle name="Normal" xfId="0" builtinId="0"/>
    <cellStyle name="Normal 11" xfId="1" xr:uid="{E0E0A42A-F999-4AE2-8E50-53E9EF85621F}"/>
  </cellStyles>
  <dxfs count="17">
    <dxf>
      <fill>
        <patternFill>
          <bgColor theme="9" tint="0.79998168889431442"/>
        </patternFill>
      </fill>
    </dxf>
    <dxf>
      <font>
        <b val="0"/>
        <i/>
        <color rgb="FFFF0000"/>
      </font>
    </dxf>
    <dxf>
      <fill>
        <patternFill>
          <bgColor theme="9" tint="0.79998168889431442"/>
        </patternFill>
      </fill>
    </dxf>
    <dxf>
      <font>
        <b val="0"/>
        <strike val="0"/>
        <outline val="0"/>
        <shadow val="0"/>
        <u val="none"/>
        <vertAlign val="baseline"/>
        <sz val="10"/>
        <color theme="1"/>
        <name val="Arial"/>
        <scheme val="none"/>
      </font>
      <numFmt numFmtId="30" formatCode="@"/>
      <alignment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scheme val="none"/>
      </font>
      <numFmt numFmtId="30" formatCode="@"/>
      <alignment horizontal="center" vertical="center" textRotation="0" wrapText="0" indent="0" justifyLastLine="0" shrinkToFit="0" readingOrder="0"/>
    </dxf>
    <dxf>
      <font>
        <b val="0"/>
        <strike val="0"/>
        <outline val="0"/>
        <shadow val="0"/>
        <u val="none"/>
        <vertAlign val="baseline"/>
        <sz val="10"/>
        <color theme="1"/>
        <name val="Arial"/>
        <family val="2"/>
        <scheme val="none"/>
      </font>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numFmt numFmtId="30" formatCode="@"/>
      <alignment horizontal="center"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general" vertical="center" textRotation="0" wrapText="1" indent="0" justifyLastLine="0" shrinkToFit="0" readingOrder="0"/>
    </dxf>
    <dxf>
      <alignment horizontal="general" vertical="center" textRotation="0" wrapText="0" indent="0" justifyLastLine="0" shrinkToFit="0" readingOrder="0"/>
    </dxf>
    <dxf>
      <numFmt numFmtId="30" formatCode="@"/>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22" fmlaLink="$K$11" fmlaRange="$D$42:$G$45" noThreeD="1" sel="2" val="0"/>
</file>

<file path=xl/ctrlProps/ctrlProp2.xml><?xml version="1.0" encoding="utf-8"?>
<formControlPr xmlns="http://schemas.microsoft.com/office/spreadsheetml/2009/9/main" objectType="CheckBox" checked="Checked" fmlaLink="$AB$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6</xdr:col>
      <xdr:colOff>1514475</xdr:colOff>
      <xdr:row>0</xdr:row>
      <xdr:rowOff>0</xdr:rowOff>
    </xdr:from>
    <xdr:to>
      <xdr:col>6</xdr:col>
      <xdr:colOff>2095500</xdr:colOff>
      <xdr:row>1</xdr:row>
      <xdr:rowOff>9525</xdr:rowOff>
    </xdr:to>
    <xdr:pic>
      <xdr:nvPicPr>
        <xdr:cNvPr id="9243" name="Imagem 2">
          <a:extLst>
            <a:ext uri="{FF2B5EF4-FFF2-40B4-BE49-F238E27FC236}">
              <a16:creationId xmlns:a16="http://schemas.microsoft.com/office/drawing/2014/main" id="{00000000-0008-0000-0000-00001B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0"/>
          <a:ext cx="581025" cy="5048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304800</xdr:colOff>
          <xdr:row>9</xdr:row>
          <xdr:rowOff>0</xdr:rowOff>
        </xdr:from>
        <xdr:to>
          <xdr:col>7</xdr:col>
          <xdr:colOff>9525</xdr:colOff>
          <xdr:row>10</xdr:row>
          <xdr:rowOff>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10</xdr:row>
          <xdr:rowOff>47625</xdr:rowOff>
        </xdr:from>
        <xdr:to>
          <xdr:col>12</xdr:col>
          <xdr:colOff>285750</xdr:colOff>
          <xdr:row>10</xdr:row>
          <xdr:rowOff>276225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pt-PT" sz="800" b="0" i="0" u="none" strike="noStrike" baseline="0">
                  <a:solidFill>
                    <a:srgbClr val="000000"/>
                  </a:solidFill>
                  <a:latin typeface="Segoe UI"/>
                  <a:cs typeface="Segoe UI"/>
                </a:rPr>
                <a:t> Receita emitida pela Tesouraria acima selecionada.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476249</xdr:colOff>
      <xdr:row>4</xdr:row>
      <xdr:rowOff>76200</xdr:rowOff>
    </xdr:from>
    <xdr:to>
      <xdr:col>12</xdr:col>
      <xdr:colOff>369794</xdr:colOff>
      <xdr:row>13</xdr:row>
      <xdr:rowOff>81524</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11573" y="782171"/>
          <a:ext cx="6549839" cy="141726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571500</xdr:colOff>
      <xdr:row>11</xdr:row>
      <xdr:rowOff>65484</xdr:rowOff>
    </xdr:from>
    <xdr:to>
      <xdr:col>3</xdr:col>
      <xdr:colOff>571500</xdr:colOff>
      <xdr:row>13</xdr:row>
      <xdr:rowOff>125015</xdr:rowOff>
    </xdr:to>
    <xdr:sp macro="" textlink="">
      <xdr:nvSpPr>
        <xdr:cNvPr id="3" name="Oval 2">
          <a:extLst>
            <a:ext uri="{FF2B5EF4-FFF2-40B4-BE49-F238E27FC236}">
              <a16:creationId xmlns:a16="http://schemas.microsoft.com/office/drawing/2014/main" id="{00000000-0008-0000-0400-000003000000}"/>
            </a:ext>
          </a:extLst>
        </xdr:cNvPr>
        <xdr:cNvSpPr/>
      </xdr:nvSpPr>
      <xdr:spPr bwMode="auto">
        <a:xfrm>
          <a:off x="809625" y="1910953"/>
          <a:ext cx="1214438" cy="38100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algn="l"/>
          <a:endParaRPr lang="pt-PT" sz="1100"/>
        </a:p>
      </xdr:txBody>
    </xdr:sp>
    <xdr:clientData/>
  </xdr:twoCellAnchor>
  <xdr:twoCellAnchor editAs="oneCell">
    <xdr:from>
      <xdr:col>1</xdr:col>
      <xdr:colOff>493057</xdr:colOff>
      <xdr:row>17</xdr:row>
      <xdr:rowOff>59337</xdr:rowOff>
    </xdr:from>
    <xdr:to>
      <xdr:col>12</xdr:col>
      <xdr:colOff>347382</xdr:colOff>
      <xdr:row>27</xdr:row>
      <xdr:rowOff>95363</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l="144" t="32782" r="86486" b="49211"/>
        <a:stretch/>
      </xdr:blipFill>
      <xdr:spPr>
        <a:xfrm>
          <a:off x="728381" y="2804778"/>
          <a:ext cx="6510619" cy="1604850"/>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493058</xdr:colOff>
      <xdr:row>31</xdr:row>
      <xdr:rowOff>76200</xdr:rowOff>
    </xdr:from>
    <xdr:to>
      <xdr:col>12</xdr:col>
      <xdr:colOff>347652</xdr:colOff>
      <xdr:row>37</xdr:row>
      <xdr:rowOff>96069</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t="27584" b="-1"/>
        <a:stretch/>
      </xdr:blipFill>
      <xdr:spPr>
        <a:xfrm>
          <a:off x="731183" y="5495925"/>
          <a:ext cx="6560194" cy="99141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119061</xdr:colOff>
      <xdr:row>29</xdr:row>
      <xdr:rowOff>148828</xdr:rowOff>
    </xdr:from>
    <xdr:to>
      <xdr:col>13</xdr:col>
      <xdr:colOff>351233</xdr:colOff>
      <xdr:row>38</xdr:row>
      <xdr:rowOff>154781</xdr:rowOff>
    </xdr:to>
    <xdr:sp macro="" textlink="">
      <xdr:nvSpPr>
        <xdr:cNvPr id="18" name="Forma livre: Forma 17">
          <a:extLst>
            <a:ext uri="{FF2B5EF4-FFF2-40B4-BE49-F238E27FC236}">
              <a16:creationId xmlns:a16="http://schemas.microsoft.com/office/drawing/2014/main" id="{00000000-0008-0000-0400-000012000000}"/>
            </a:ext>
          </a:extLst>
        </xdr:cNvPr>
        <xdr:cNvSpPr/>
      </xdr:nvSpPr>
      <xdr:spPr bwMode="auto">
        <a:xfrm>
          <a:off x="1571624" y="4887516"/>
          <a:ext cx="6304359" cy="1774031"/>
        </a:xfrm>
        <a:custGeom>
          <a:avLst/>
          <a:gdLst>
            <a:gd name="connsiteX0" fmla="*/ 6215062 w 6215062"/>
            <a:gd name="connsiteY0" fmla="*/ 0 h 1774031"/>
            <a:gd name="connsiteX1" fmla="*/ 6215062 w 6215062"/>
            <a:gd name="connsiteY1" fmla="*/ 476250 h 1774031"/>
            <a:gd name="connsiteX2" fmla="*/ 392906 w 6215062"/>
            <a:gd name="connsiteY2" fmla="*/ 1774031 h 1774031"/>
            <a:gd name="connsiteX3" fmla="*/ 0 w 6215062"/>
            <a:gd name="connsiteY3" fmla="*/ 1547812 h 1774031"/>
            <a:gd name="connsiteX0" fmla="*/ 6334125 w 6334125"/>
            <a:gd name="connsiteY0" fmla="*/ 0 h 1774031"/>
            <a:gd name="connsiteX1" fmla="*/ 6334125 w 6334125"/>
            <a:gd name="connsiteY1" fmla="*/ 476250 h 1774031"/>
            <a:gd name="connsiteX2" fmla="*/ 511969 w 6334125"/>
            <a:gd name="connsiteY2" fmla="*/ 1774031 h 1774031"/>
            <a:gd name="connsiteX3" fmla="*/ 0 w 6334125"/>
            <a:gd name="connsiteY3" fmla="*/ 1494234 h 1774031"/>
            <a:gd name="connsiteX0" fmla="*/ 6304359 w 6304359"/>
            <a:gd name="connsiteY0" fmla="*/ 0 h 1774031"/>
            <a:gd name="connsiteX1" fmla="*/ 6304359 w 6304359"/>
            <a:gd name="connsiteY1" fmla="*/ 476250 h 1774031"/>
            <a:gd name="connsiteX2" fmla="*/ 482203 w 6304359"/>
            <a:gd name="connsiteY2" fmla="*/ 1774031 h 1774031"/>
            <a:gd name="connsiteX3" fmla="*/ 0 w 6304359"/>
            <a:gd name="connsiteY3" fmla="*/ 1393031 h 1774031"/>
          </a:gdLst>
          <a:ahLst/>
          <a:cxnLst>
            <a:cxn ang="0">
              <a:pos x="connsiteX0" y="connsiteY0"/>
            </a:cxn>
            <a:cxn ang="0">
              <a:pos x="connsiteX1" y="connsiteY1"/>
            </a:cxn>
            <a:cxn ang="0">
              <a:pos x="connsiteX2" y="connsiteY2"/>
            </a:cxn>
            <a:cxn ang="0">
              <a:pos x="connsiteX3" y="connsiteY3"/>
            </a:cxn>
          </a:cxnLst>
          <a:rect l="l" t="t" r="r" b="b"/>
          <a:pathLst>
            <a:path w="6304359" h="1774031">
              <a:moveTo>
                <a:pt x="6304359" y="0"/>
              </a:moveTo>
              <a:lnTo>
                <a:pt x="6304359" y="476250"/>
              </a:lnTo>
              <a:lnTo>
                <a:pt x="482203" y="1774031"/>
              </a:lnTo>
              <a:lnTo>
                <a:pt x="0" y="1393031"/>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algn="l"/>
          <a:endParaRPr lang="pt-PT" sz="1100"/>
        </a:p>
      </xdr:txBody>
    </xdr:sp>
    <xdr:clientData/>
  </xdr:twoCellAnchor>
  <xdr:twoCellAnchor>
    <xdr:from>
      <xdr:col>5</xdr:col>
      <xdr:colOff>482203</xdr:colOff>
      <xdr:row>30</xdr:row>
      <xdr:rowOff>0</xdr:rowOff>
    </xdr:from>
    <xdr:to>
      <xdr:col>9</xdr:col>
      <xdr:colOff>136922</xdr:colOff>
      <xdr:row>34</xdr:row>
      <xdr:rowOff>5953</xdr:rowOff>
    </xdr:to>
    <xdr:sp macro="" textlink="">
      <xdr:nvSpPr>
        <xdr:cNvPr id="19" name="Forma livre: Forma 18">
          <a:extLst>
            <a:ext uri="{FF2B5EF4-FFF2-40B4-BE49-F238E27FC236}">
              <a16:creationId xmlns:a16="http://schemas.microsoft.com/office/drawing/2014/main" id="{00000000-0008-0000-0400-000013000000}"/>
            </a:ext>
          </a:extLst>
        </xdr:cNvPr>
        <xdr:cNvSpPr/>
      </xdr:nvSpPr>
      <xdr:spPr bwMode="auto">
        <a:xfrm>
          <a:off x="3149203" y="4923234"/>
          <a:ext cx="2083594" cy="946547"/>
        </a:xfrm>
        <a:custGeom>
          <a:avLst/>
          <a:gdLst>
            <a:gd name="connsiteX0" fmla="*/ 2083594 w 2083594"/>
            <a:gd name="connsiteY0" fmla="*/ 0 h 946547"/>
            <a:gd name="connsiteX1" fmla="*/ 1172766 w 2083594"/>
            <a:gd name="connsiteY1" fmla="*/ 631032 h 946547"/>
            <a:gd name="connsiteX2" fmla="*/ 0 w 2083594"/>
            <a:gd name="connsiteY2" fmla="*/ 690563 h 946547"/>
            <a:gd name="connsiteX3" fmla="*/ 0 w 2083594"/>
            <a:gd name="connsiteY3" fmla="*/ 946547 h 946547"/>
          </a:gdLst>
          <a:ahLst/>
          <a:cxnLst>
            <a:cxn ang="0">
              <a:pos x="connsiteX0" y="connsiteY0"/>
            </a:cxn>
            <a:cxn ang="0">
              <a:pos x="connsiteX1" y="connsiteY1"/>
            </a:cxn>
            <a:cxn ang="0">
              <a:pos x="connsiteX2" y="connsiteY2"/>
            </a:cxn>
            <a:cxn ang="0">
              <a:pos x="connsiteX3" y="connsiteY3"/>
            </a:cxn>
          </a:cxnLst>
          <a:rect l="l" t="t" r="r" b="b"/>
          <a:pathLst>
            <a:path w="2083594" h="946547">
              <a:moveTo>
                <a:pt x="2083594" y="0"/>
              </a:moveTo>
              <a:lnTo>
                <a:pt x="1172766" y="631032"/>
              </a:lnTo>
              <a:lnTo>
                <a:pt x="0" y="690563"/>
              </a:lnTo>
              <a:lnTo>
                <a:pt x="0" y="946547"/>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327422</xdr:colOff>
      <xdr:row>30</xdr:row>
      <xdr:rowOff>0</xdr:rowOff>
    </xdr:from>
    <xdr:to>
      <xdr:col>8</xdr:col>
      <xdr:colOff>261938</xdr:colOff>
      <xdr:row>34</xdr:row>
      <xdr:rowOff>83343</xdr:rowOff>
    </xdr:to>
    <xdr:sp macro="" textlink="">
      <xdr:nvSpPr>
        <xdr:cNvPr id="23" name="Forma livre: Forma 22">
          <a:extLst>
            <a:ext uri="{FF2B5EF4-FFF2-40B4-BE49-F238E27FC236}">
              <a16:creationId xmlns:a16="http://schemas.microsoft.com/office/drawing/2014/main" id="{00000000-0008-0000-0400-000017000000}"/>
            </a:ext>
          </a:extLst>
        </xdr:cNvPr>
        <xdr:cNvSpPr/>
      </xdr:nvSpPr>
      <xdr:spPr bwMode="auto">
        <a:xfrm>
          <a:off x="1172766" y="4911328"/>
          <a:ext cx="3577828" cy="1035843"/>
        </a:xfrm>
        <a:custGeom>
          <a:avLst/>
          <a:gdLst>
            <a:gd name="connsiteX0" fmla="*/ 3577828 w 3577828"/>
            <a:gd name="connsiteY0" fmla="*/ 0 h 970359"/>
            <a:gd name="connsiteX1" fmla="*/ 0 w 3577828"/>
            <a:gd name="connsiteY1" fmla="*/ 583406 h 970359"/>
            <a:gd name="connsiteX2" fmla="*/ 154781 w 3577828"/>
            <a:gd name="connsiteY2" fmla="*/ 970359 h 970359"/>
            <a:gd name="connsiteX0" fmla="*/ 3577828 w 3577828"/>
            <a:gd name="connsiteY0" fmla="*/ 0 h 1035843"/>
            <a:gd name="connsiteX1" fmla="*/ 0 w 3577828"/>
            <a:gd name="connsiteY1" fmla="*/ 583406 h 1035843"/>
            <a:gd name="connsiteX2" fmla="*/ 107156 w 3577828"/>
            <a:gd name="connsiteY2" fmla="*/ 1035843 h 1035843"/>
            <a:gd name="connsiteX0" fmla="*/ 3577828 w 3577828"/>
            <a:gd name="connsiteY0" fmla="*/ 0 h 970358"/>
            <a:gd name="connsiteX1" fmla="*/ 0 w 3577828"/>
            <a:gd name="connsiteY1" fmla="*/ 583406 h 970358"/>
            <a:gd name="connsiteX2" fmla="*/ 77390 w 3577828"/>
            <a:gd name="connsiteY2" fmla="*/ 970358 h 970358"/>
            <a:gd name="connsiteX0" fmla="*/ 3577828 w 3577828"/>
            <a:gd name="connsiteY0" fmla="*/ 0 h 994171"/>
            <a:gd name="connsiteX1" fmla="*/ 0 w 3577828"/>
            <a:gd name="connsiteY1" fmla="*/ 583406 h 994171"/>
            <a:gd name="connsiteX2" fmla="*/ 89296 w 3577828"/>
            <a:gd name="connsiteY2" fmla="*/ 994171 h 994171"/>
            <a:gd name="connsiteX0" fmla="*/ 3577828 w 3577828"/>
            <a:gd name="connsiteY0" fmla="*/ 0 h 1035843"/>
            <a:gd name="connsiteX1" fmla="*/ 0 w 3577828"/>
            <a:gd name="connsiteY1" fmla="*/ 583406 h 1035843"/>
            <a:gd name="connsiteX2" fmla="*/ 166687 w 3577828"/>
            <a:gd name="connsiteY2" fmla="*/ 1035843 h 1035843"/>
          </a:gdLst>
          <a:ahLst/>
          <a:cxnLst>
            <a:cxn ang="0">
              <a:pos x="connsiteX0" y="connsiteY0"/>
            </a:cxn>
            <a:cxn ang="0">
              <a:pos x="connsiteX1" y="connsiteY1"/>
            </a:cxn>
            <a:cxn ang="0">
              <a:pos x="connsiteX2" y="connsiteY2"/>
            </a:cxn>
          </a:cxnLst>
          <a:rect l="l" t="t" r="r" b="b"/>
          <a:pathLst>
            <a:path w="3577828" h="1035843">
              <a:moveTo>
                <a:pt x="3577828" y="0"/>
              </a:moveTo>
              <a:lnTo>
                <a:pt x="0" y="583406"/>
              </a:lnTo>
              <a:lnTo>
                <a:pt x="166687" y="1035843"/>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0</xdr:colOff>
      <xdr:row>42</xdr:row>
      <xdr:rowOff>1</xdr:rowOff>
    </xdr:from>
    <xdr:to>
      <xdr:col>12</xdr:col>
      <xdr:colOff>461813</xdr:colOff>
      <xdr:row>53</xdr:row>
      <xdr:rowOff>26472</xdr:rowOff>
    </xdr:to>
    <xdr:pic>
      <xdr:nvPicPr>
        <xdr:cNvPr id="24" name="Imagem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a:stretch>
          <a:fillRect/>
        </a:stretch>
      </xdr:blipFill>
      <xdr:spPr>
        <a:xfrm>
          <a:off x="845344" y="7149704"/>
          <a:ext cx="6534000" cy="1794549"/>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xdr:col>
      <xdr:colOff>434578</xdr:colOff>
      <xdr:row>41</xdr:row>
      <xdr:rowOff>5953</xdr:rowOff>
    </xdr:from>
    <xdr:to>
      <xdr:col>11</xdr:col>
      <xdr:colOff>464343</xdr:colOff>
      <xdr:row>49</xdr:row>
      <xdr:rowOff>23812</xdr:rowOff>
    </xdr:to>
    <xdr:sp macro="" textlink="">
      <xdr:nvSpPr>
        <xdr:cNvPr id="25" name="Forma livre: Forma 24">
          <a:extLst>
            <a:ext uri="{FF2B5EF4-FFF2-40B4-BE49-F238E27FC236}">
              <a16:creationId xmlns:a16="http://schemas.microsoft.com/office/drawing/2014/main" id="{00000000-0008-0000-0400-000019000000}"/>
            </a:ext>
          </a:extLst>
        </xdr:cNvPr>
        <xdr:cNvSpPr/>
      </xdr:nvSpPr>
      <xdr:spPr bwMode="auto">
        <a:xfrm>
          <a:off x="2494359" y="6994922"/>
          <a:ext cx="4280297" cy="1303734"/>
        </a:xfrm>
        <a:custGeom>
          <a:avLst/>
          <a:gdLst>
            <a:gd name="connsiteX0" fmla="*/ 0 w 4280297"/>
            <a:gd name="connsiteY0" fmla="*/ 0 h 1303734"/>
            <a:gd name="connsiteX1" fmla="*/ 4048125 w 4280297"/>
            <a:gd name="connsiteY1" fmla="*/ 922734 h 1303734"/>
            <a:gd name="connsiteX2" fmla="*/ 4280297 w 4280297"/>
            <a:gd name="connsiteY2" fmla="*/ 1303734 h 1303734"/>
          </a:gdLst>
          <a:ahLst/>
          <a:cxnLst>
            <a:cxn ang="0">
              <a:pos x="connsiteX0" y="connsiteY0"/>
            </a:cxn>
            <a:cxn ang="0">
              <a:pos x="connsiteX1" y="connsiteY1"/>
            </a:cxn>
            <a:cxn ang="0">
              <a:pos x="connsiteX2" y="connsiteY2"/>
            </a:cxn>
          </a:cxnLst>
          <a:rect l="l" t="t" r="r" b="b"/>
          <a:pathLst>
            <a:path w="4280297" h="1303734">
              <a:moveTo>
                <a:pt x="0" y="0"/>
              </a:moveTo>
              <a:lnTo>
                <a:pt x="4048125" y="922734"/>
              </a:lnTo>
              <a:lnTo>
                <a:pt x="4280297" y="1303734"/>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2</xdr:col>
      <xdr:colOff>357187</xdr:colOff>
      <xdr:row>40</xdr:row>
      <xdr:rowOff>154782</xdr:rowOff>
    </xdr:from>
    <xdr:to>
      <xdr:col>3</xdr:col>
      <xdr:colOff>214312</xdr:colOff>
      <xdr:row>49</xdr:row>
      <xdr:rowOff>0</xdr:rowOff>
    </xdr:to>
    <xdr:sp macro="" textlink="">
      <xdr:nvSpPr>
        <xdr:cNvPr id="26" name="Forma livre: Forma 25">
          <a:extLst>
            <a:ext uri="{FF2B5EF4-FFF2-40B4-BE49-F238E27FC236}">
              <a16:creationId xmlns:a16="http://schemas.microsoft.com/office/drawing/2014/main" id="{00000000-0008-0000-0400-00001A000000}"/>
            </a:ext>
          </a:extLst>
        </xdr:cNvPr>
        <xdr:cNvSpPr/>
      </xdr:nvSpPr>
      <xdr:spPr bwMode="auto">
        <a:xfrm>
          <a:off x="1202531" y="6983016"/>
          <a:ext cx="464344" cy="1291828"/>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5</xdr:col>
      <xdr:colOff>541734</xdr:colOff>
      <xdr:row>52</xdr:row>
      <xdr:rowOff>41672</xdr:rowOff>
    </xdr:from>
    <xdr:to>
      <xdr:col>6</xdr:col>
      <xdr:colOff>583406</xdr:colOff>
      <xdr:row>55</xdr:row>
      <xdr:rowOff>41672</xdr:rowOff>
    </xdr:to>
    <xdr:cxnSp macro="">
      <xdr:nvCxnSpPr>
        <xdr:cNvPr id="28" name="Conexão reta unidirecional 27">
          <a:extLst>
            <a:ext uri="{FF2B5EF4-FFF2-40B4-BE49-F238E27FC236}">
              <a16:creationId xmlns:a16="http://schemas.microsoft.com/office/drawing/2014/main" id="{00000000-0008-0000-0400-00001C000000}"/>
            </a:ext>
          </a:extLst>
        </xdr:cNvPr>
        <xdr:cNvCxnSpPr/>
      </xdr:nvCxnSpPr>
      <xdr:spPr bwMode="auto">
        <a:xfrm>
          <a:off x="3208734" y="8798719"/>
          <a:ext cx="648891" cy="482203"/>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5953</xdr:colOff>
      <xdr:row>57</xdr:row>
      <xdr:rowOff>125010</xdr:rowOff>
    </xdr:from>
    <xdr:to>
      <xdr:col>12</xdr:col>
      <xdr:colOff>467766</xdr:colOff>
      <xdr:row>67</xdr:row>
      <xdr:rowOff>123734</xdr:rowOff>
    </xdr:to>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a:stretch>
          <a:fillRect/>
        </a:stretch>
      </xdr:blipFill>
      <xdr:spPr>
        <a:xfrm>
          <a:off x="851297" y="9685729"/>
          <a:ext cx="6534000" cy="1606068"/>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xdr:col>
      <xdr:colOff>0</xdr:colOff>
      <xdr:row>57</xdr:row>
      <xdr:rowOff>23813</xdr:rowOff>
    </xdr:from>
    <xdr:to>
      <xdr:col>3</xdr:col>
      <xdr:colOff>464344</xdr:colOff>
      <xdr:row>64</xdr:row>
      <xdr:rowOff>5953</xdr:rowOff>
    </xdr:to>
    <xdr:sp macro="" textlink="">
      <xdr:nvSpPr>
        <xdr:cNvPr id="30" name="Forma livre: Forma 29">
          <a:extLst>
            <a:ext uri="{FF2B5EF4-FFF2-40B4-BE49-F238E27FC236}">
              <a16:creationId xmlns:a16="http://schemas.microsoft.com/office/drawing/2014/main" id="{00000000-0008-0000-0400-00001E000000}"/>
            </a:ext>
          </a:extLst>
        </xdr:cNvPr>
        <xdr:cNvSpPr/>
      </xdr:nvSpPr>
      <xdr:spPr bwMode="auto">
        <a:xfrm>
          <a:off x="1452563" y="9584532"/>
          <a:ext cx="464344" cy="1107280"/>
        </a:xfrm>
        <a:custGeom>
          <a:avLst/>
          <a:gdLst>
            <a:gd name="connsiteX0" fmla="*/ 0 w 464344"/>
            <a:gd name="connsiteY0" fmla="*/ 0 h 1291828"/>
            <a:gd name="connsiteX1" fmla="*/ 464344 w 464344"/>
            <a:gd name="connsiteY1" fmla="*/ 1291828 h 1291828"/>
          </a:gdLst>
          <a:ahLst/>
          <a:cxnLst>
            <a:cxn ang="0">
              <a:pos x="connsiteX0" y="connsiteY0"/>
            </a:cxn>
            <a:cxn ang="0">
              <a:pos x="connsiteX1" y="connsiteY1"/>
            </a:cxn>
          </a:cxnLst>
          <a:rect l="l" t="t" r="r" b="b"/>
          <a:pathLst>
            <a:path w="464344" h="1291828">
              <a:moveTo>
                <a:pt x="0" y="0"/>
              </a:moveTo>
              <a:lnTo>
                <a:pt x="464344" y="1291828"/>
              </a:lnTo>
            </a:path>
          </a:pathLst>
        </a:custGeom>
        <a:noFill/>
        <a:ln w="9525" cap="flat" cmpd="sng" algn="ctr">
          <a:solidFill>
            <a:srgbClr val="FF0000"/>
          </a:solidFill>
          <a:prstDash val="dash"/>
          <a:round/>
          <a:headEnd type="none" w="med" len="med"/>
          <a:tailEnd type="triangle"/>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2</xdr:col>
      <xdr:colOff>11903</xdr:colOff>
      <xdr:row>110</xdr:row>
      <xdr:rowOff>160734</xdr:rowOff>
    </xdr:from>
    <xdr:to>
      <xdr:col>12</xdr:col>
      <xdr:colOff>473716</xdr:colOff>
      <xdr:row>120</xdr:row>
      <xdr:rowOff>5953</xdr:rowOff>
    </xdr:to>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rotWithShape="1">
        <a:blip xmlns:r="http://schemas.openxmlformats.org/officeDocument/2006/relationships" r:embed="rId6"/>
        <a:srcRect t="1320" b="34343"/>
        <a:stretch/>
      </xdr:blipFill>
      <xdr:spPr>
        <a:xfrm>
          <a:off x="857247" y="18401109"/>
          <a:ext cx="6534000" cy="145256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5953</xdr:colOff>
      <xdr:row>92</xdr:row>
      <xdr:rowOff>89295</xdr:rowOff>
    </xdr:from>
    <xdr:to>
      <xdr:col>12</xdr:col>
      <xdr:colOff>467766</xdr:colOff>
      <xdr:row>107</xdr:row>
      <xdr:rowOff>160182</xdr:rowOff>
    </xdr:to>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7"/>
        <a:srcRect l="583" t="50271" r="87134" b="24845"/>
        <a:stretch/>
      </xdr:blipFill>
      <xdr:spPr>
        <a:xfrm>
          <a:off x="851297" y="15436451"/>
          <a:ext cx="6534000" cy="2481903"/>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553640</xdr:colOff>
      <xdr:row>110</xdr:row>
      <xdr:rowOff>5953</xdr:rowOff>
    </xdr:from>
    <xdr:to>
      <xdr:col>3</xdr:col>
      <xdr:colOff>65484</xdr:colOff>
      <xdr:row>115</xdr:row>
      <xdr:rowOff>35719</xdr:rowOff>
    </xdr:to>
    <xdr:cxnSp macro="">
      <xdr:nvCxnSpPr>
        <xdr:cNvPr id="35" name="Conexão reta unidirecional 34">
          <a:extLst>
            <a:ext uri="{FF2B5EF4-FFF2-40B4-BE49-F238E27FC236}">
              <a16:creationId xmlns:a16="http://schemas.microsoft.com/office/drawing/2014/main" id="{00000000-0008-0000-0400-000023000000}"/>
            </a:ext>
          </a:extLst>
        </xdr:cNvPr>
        <xdr:cNvCxnSpPr/>
      </xdr:nvCxnSpPr>
      <xdr:spPr bwMode="auto">
        <a:xfrm flipH="1">
          <a:off x="1398984" y="18246328"/>
          <a:ext cx="119063" cy="83343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2</xdr:col>
      <xdr:colOff>160734</xdr:colOff>
      <xdr:row>74</xdr:row>
      <xdr:rowOff>119063</xdr:rowOff>
    </xdr:from>
    <xdr:to>
      <xdr:col>2</xdr:col>
      <xdr:colOff>488156</xdr:colOff>
      <xdr:row>77</xdr:row>
      <xdr:rowOff>23813</xdr:rowOff>
    </xdr:to>
    <xdr:sp macro="" textlink="">
      <xdr:nvSpPr>
        <xdr:cNvPr id="36" name="Retângulo 35">
          <a:extLst>
            <a:ext uri="{FF2B5EF4-FFF2-40B4-BE49-F238E27FC236}">
              <a16:creationId xmlns:a16="http://schemas.microsoft.com/office/drawing/2014/main" id="{00000000-0008-0000-0400-000024000000}"/>
            </a:ext>
          </a:extLst>
        </xdr:cNvPr>
        <xdr:cNvSpPr/>
      </xdr:nvSpPr>
      <xdr:spPr bwMode="auto">
        <a:xfrm>
          <a:off x="1006078" y="12412266"/>
          <a:ext cx="327422" cy="38695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4</xdr:col>
      <xdr:colOff>214311</xdr:colOff>
      <xdr:row>98</xdr:row>
      <xdr:rowOff>53576</xdr:rowOff>
    </xdr:from>
    <xdr:to>
      <xdr:col>10</xdr:col>
      <xdr:colOff>559593</xdr:colOff>
      <xdr:row>100</xdr:row>
      <xdr:rowOff>107155</xdr:rowOff>
    </xdr:to>
    <xdr:sp macro="" textlink="">
      <xdr:nvSpPr>
        <xdr:cNvPr id="38" name="Oval 37">
          <a:extLst>
            <a:ext uri="{FF2B5EF4-FFF2-40B4-BE49-F238E27FC236}">
              <a16:creationId xmlns:a16="http://schemas.microsoft.com/office/drawing/2014/main" id="{00000000-0008-0000-0400-000026000000}"/>
            </a:ext>
          </a:extLst>
        </xdr:cNvPr>
        <xdr:cNvSpPr/>
      </xdr:nvSpPr>
      <xdr:spPr bwMode="auto">
        <a:xfrm>
          <a:off x="2274092" y="16365139"/>
          <a:ext cx="3988595"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3</xdr:col>
      <xdr:colOff>71437</xdr:colOff>
      <xdr:row>109</xdr:row>
      <xdr:rowOff>154781</xdr:rowOff>
    </xdr:from>
    <xdr:to>
      <xdr:col>3</xdr:col>
      <xdr:colOff>267890</xdr:colOff>
      <xdr:row>118</xdr:row>
      <xdr:rowOff>17860</xdr:rowOff>
    </xdr:to>
    <xdr:cxnSp macro="">
      <xdr:nvCxnSpPr>
        <xdr:cNvPr id="39" name="Conexão reta unidirecional 38">
          <a:extLst>
            <a:ext uri="{FF2B5EF4-FFF2-40B4-BE49-F238E27FC236}">
              <a16:creationId xmlns:a16="http://schemas.microsoft.com/office/drawing/2014/main" id="{00000000-0008-0000-0400-000027000000}"/>
            </a:ext>
          </a:extLst>
        </xdr:cNvPr>
        <xdr:cNvCxnSpPr/>
      </xdr:nvCxnSpPr>
      <xdr:spPr bwMode="auto">
        <a:xfrm>
          <a:off x="1524000" y="18234422"/>
          <a:ext cx="196453" cy="1309688"/>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53578</xdr:colOff>
      <xdr:row>110</xdr:row>
      <xdr:rowOff>17859</xdr:rowOff>
    </xdr:from>
    <xdr:to>
      <xdr:col>4</xdr:col>
      <xdr:colOff>363141</xdr:colOff>
      <xdr:row>115</xdr:row>
      <xdr:rowOff>107156</xdr:rowOff>
    </xdr:to>
    <xdr:cxnSp macro="">
      <xdr:nvCxnSpPr>
        <xdr:cNvPr id="42" name="Conexão reta unidirecional 41">
          <a:extLst>
            <a:ext uri="{FF2B5EF4-FFF2-40B4-BE49-F238E27FC236}">
              <a16:creationId xmlns:a16="http://schemas.microsoft.com/office/drawing/2014/main" id="{00000000-0008-0000-0400-00002A000000}"/>
            </a:ext>
          </a:extLst>
        </xdr:cNvPr>
        <xdr:cNvCxnSpPr/>
      </xdr:nvCxnSpPr>
      <xdr:spPr bwMode="auto">
        <a:xfrm>
          <a:off x="1506141" y="18258234"/>
          <a:ext cx="916781" cy="892969"/>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xdr:from>
      <xdr:col>3</xdr:col>
      <xdr:colOff>65484</xdr:colOff>
      <xdr:row>110</xdr:row>
      <xdr:rowOff>11906</xdr:rowOff>
    </xdr:from>
    <xdr:to>
      <xdr:col>4</xdr:col>
      <xdr:colOff>398859</xdr:colOff>
      <xdr:row>114</xdr:row>
      <xdr:rowOff>113109</xdr:rowOff>
    </xdr:to>
    <xdr:cxnSp macro="">
      <xdr:nvCxnSpPr>
        <xdr:cNvPr id="45" name="Conexão reta unidirecional 44">
          <a:extLst>
            <a:ext uri="{FF2B5EF4-FFF2-40B4-BE49-F238E27FC236}">
              <a16:creationId xmlns:a16="http://schemas.microsoft.com/office/drawing/2014/main" id="{00000000-0008-0000-0400-00002D000000}"/>
            </a:ext>
          </a:extLst>
        </xdr:cNvPr>
        <xdr:cNvCxnSpPr/>
      </xdr:nvCxnSpPr>
      <xdr:spPr bwMode="auto">
        <a:xfrm>
          <a:off x="1518047" y="18252281"/>
          <a:ext cx="940593" cy="744141"/>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11905</xdr:colOff>
      <xdr:row>123</xdr:row>
      <xdr:rowOff>160732</xdr:rowOff>
    </xdr:from>
    <xdr:to>
      <xdr:col>12</xdr:col>
      <xdr:colOff>473718</xdr:colOff>
      <xdr:row>140</xdr:row>
      <xdr:rowOff>28415</xdr:rowOff>
    </xdr:to>
    <xdr:pic>
      <xdr:nvPicPr>
        <xdr:cNvPr id="48" name="Imagem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8"/>
        <a:stretch>
          <a:fillRect/>
        </a:stretch>
      </xdr:blipFill>
      <xdr:spPr>
        <a:xfrm>
          <a:off x="857249" y="20490654"/>
          <a:ext cx="6534000" cy="2600167"/>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11</xdr:col>
      <xdr:colOff>333374</xdr:colOff>
      <xdr:row>137</xdr:row>
      <xdr:rowOff>113109</xdr:rowOff>
    </xdr:from>
    <xdr:to>
      <xdr:col>12</xdr:col>
      <xdr:colOff>428625</xdr:colOff>
      <xdr:row>140</xdr:row>
      <xdr:rowOff>5953</xdr:rowOff>
    </xdr:to>
    <xdr:sp macro="" textlink="">
      <xdr:nvSpPr>
        <xdr:cNvPr id="49" name="Oval 48">
          <a:extLst>
            <a:ext uri="{FF2B5EF4-FFF2-40B4-BE49-F238E27FC236}">
              <a16:creationId xmlns:a16="http://schemas.microsoft.com/office/drawing/2014/main" id="{00000000-0008-0000-0400-000031000000}"/>
            </a:ext>
          </a:extLst>
        </xdr:cNvPr>
        <xdr:cNvSpPr/>
      </xdr:nvSpPr>
      <xdr:spPr bwMode="auto">
        <a:xfrm>
          <a:off x="6643687" y="22693312"/>
          <a:ext cx="702469" cy="375047"/>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8</xdr:col>
      <xdr:colOff>232172</xdr:colOff>
      <xdr:row>126</xdr:row>
      <xdr:rowOff>101203</xdr:rowOff>
    </xdr:from>
    <xdr:to>
      <xdr:col>12</xdr:col>
      <xdr:colOff>35719</xdr:colOff>
      <xdr:row>137</xdr:row>
      <xdr:rowOff>89297</xdr:rowOff>
    </xdr:to>
    <xdr:cxnSp macro="">
      <xdr:nvCxnSpPr>
        <xdr:cNvPr id="50" name="Conexão reta unidirecional 49">
          <a:extLst>
            <a:ext uri="{FF2B5EF4-FFF2-40B4-BE49-F238E27FC236}">
              <a16:creationId xmlns:a16="http://schemas.microsoft.com/office/drawing/2014/main" id="{00000000-0008-0000-0400-000032000000}"/>
            </a:ext>
          </a:extLst>
        </xdr:cNvPr>
        <xdr:cNvCxnSpPr/>
      </xdr:nvCxnSpPr>
      <xdr:spPr bwMode="auto">
        <a:xfrm flipH="1" flipV="1">
          <a:off x="4720828" y="20913328"/>
          <a:ext cx="2232422" cy="1756172"/>
        </a:xfrm>
        <a:prstGeom prst="straightConnector1">
          <a:avLst/>
        </a:prstGeom>
        <a:noFill/>
        <a:ln w="9525" cap="flat" cmpd="sng" algn="ctr">
          <a:solidFill>
            <a:srgbClr val="FF0000"/>
          </a:solidFill>
          <a:prstDash val="dash"/>
          <a:round/>
          <a:headEnd type="none" w="med" len="med"/>
          <a:tailEnd type="triangle"/>
        </a:ln>
        <a:effectLst/>
      </xdr:spPr>
    </xdr:cxnSp>
    <xdr:clientData/>
  </xdr:twoCellAnchor>
  <xdr:twoCellAnchor editAs="oneCell">
    <xdr:from>
      <xdr:col>2</xdr:col>
      <xdr:colOff>11906</xdr:colOff>
      <xdr:row>145</xdr:row>
      <xdr:rowOff>95248</xdr:rowOff>
    </xdr:from>
    <xdr:to>
      <xdr:col>12</xdr:col>
      <xdr:colOff>473719</xdr:colOff>
      <xdr:row>188</xdr:row>
      <xdr:rowOff>34391</xdr:rowOff>
    </xdr:to>
    <xdr:pic>
      <xdr:nvPicPr>
        <xdr:cNvPr id="54" name="Imagem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9"/>
        <a:srcRect t="3196"/>
        <a:stretch/>
      </xdr:blipFill>
      <xdr:spPr>
        <a:xfrm>
          <a:off x="857250" y="23961326"/>
          <a:ext cx="6534000" cy="6850721"/>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0</xdr:colOff>
      <xdr:row>71</xdr:row>
      <xdr:rowOff>114300</xdr:rowOff>
    </xdr:from>
    <xdr:to>
      <xdr:col>12</xdr:col>
      <xdr:colOff>438000</xdr:colOff>
      <xdr:row>84</xdr:row>
      <xdr:rowOff>159160</xdr:rowOff>
    </xdr:to>
    <xdr:pic>
      <xdr:nvPicPr>
        <xdr:cNvPr id="55" name="Imagem 54">
          <a:extLst>
            <a:ext uri="{FF2B5EF4-FFF2-40B4-BE49-F238E27FC236}">
              <a16:creationId xmlns:a16="http://schemas.microsoft.com/office/drawing/2014/main" id="{00000000-0008-0000-0400-000037000000}"/>
            </a:ext>
          </a:extLst>
        </xdr:cNvPr>
        <xdr:cNvPicPr>
          <a:picLocks noChangeAspect="1"/>
        </xdr:cNvPicPr>
      </xdr:nvPicPr>
      <xdr:blipFill rotWithShape="1">
        <a:blip xmlns:r="http://schemas.openxmlformats.org/officeDocument/2006/relationships" r:embed="rId10"/>
        <a:srcRect l="-251" t="40936" r="86829" b="35510"/>
        <a:stretch/>
      </xdr:blipFill>
      <xdr:spPr>
        <a:xfrm>
          <a:off x="847725" y="12011025"/>
          <a:ext cx="6534000" cy="214988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506015</xdr:colOff>
      <xdr:row>76</xdr:row>
      <xdr:rowOff>102394</xdr:rowOff>
    </xdr:from>
    <xdr:to>
      <xdr:col>2</xdr:col>
      <xdr:colOff>438150</xdr:colOff>
      <xdr:row>83</xdr:row>
      <xdr:rowOff>114300</xdr:rowOff>
    </xdr:to>
    <xdr:sp macro="" textlink="">
      <xdr:nvSpPr>
        <xdr:cNvPr id="37" name="Oval 36">
          <a:extLst>
            <a:ext uri="{FF2B5EF4-FFF2-40B4-BE49-F238E27FC236}">
              <a16:creationId xmlns:a16="http://schemas.microsoft.com/office/drawing/2014/main" id="{00000000-0008-0000-0400-000025000000}"/>
            </a:ext>
          </a:extLst>
        </xdr:cNvPr>
        <xdr:cNvSpPr/>
      </xdr:nvSpPr>
      <xdr:spPr bwMode="auto">
        <a:xfrm>
          <a:off x="744140" y="12808744"/>
          <a:ext cx="541735" cy="1145381"/>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xdr:from>
      <xdr:col>11</xdr:col>
      <xdr:colOff>85725</xdr:colOff>
      <xdr:row>80</xdr:row>
      <xdr:rowOff>85725</xdr:rowOff>
    </xdr:from>
    <xdr:to>
      <xdr:col>12</xdr:col>
      <xdr:colOff>9525</xdr:colOff>
      <xdr:row>82</xdr:row>
      <xdr:rowOff>114300</xdr:rowOff>
    </xdr:to>
    <xdr:sp macro="" textlink="">
      <xdr:nvSpPr>
        <xdr:cNvPr id="56" name="Retângulo 55">
          <a:extLst>
            <a:ext uri="{FF2B5EF4-FFF2-40B4-BE49-F238E27FC236}">
              <a16:creationId xmlns:a16="http://schemas.microsoft.com/office/drawing/2014/main" id="{00000000-0008-0000-0400-000038000000}"/>
            </a:ext>
          </a:extLst>
        </xdr:cNvPr>
        <xdr:cNvSpPr/>
      </xdr:nvSpPr>
      <xdr:spPr bwMode="auto">
        <a:xfrm>
          <a:off x="6419850" y="13439775"/>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11</xdr:col>
      <xdr:colOff>85725</xdr:colOff>
      <xdr:row>76</xdr:row>
      <xdr:rowOff>38100</xdr:rowOff>
    </xdr:from>
    <xdr:to>
      <xdr:col>12</xdr:col>
      <xdr:colOff>9525</xdr:colOff>
      <xdr:row>78</xdr:row>
      <xdr:rowOff>66675</xdr:rowOff>
    </xdr:to>
    <xdr:sp macro="" textlink="">
      <xdr:nvSpPr>
        <xdr:cNvPr id="57" name="Retângulo 56">
          <a:extLst>
            <a:ext uri="{FF2B5EF4-FFF2-40B4-BE49-F238E27FC236}">
              <a16:creationId xmlns:a16="http://schemas.microsoft.com/office/drawing/2014/main" id="{00000000-0008-0000-0400-000039000000}"/>
            </a:ext>
          </a:extLst>
        </xdr:cNvPr>
        <xdr:cNvSpPr/>
      </xdr:nvSpPr>
      <xdr:spPr bwMode="auto">
        <a:xfrm>
          <a:off x="6419850" y="12744450"/>
          <a:ext cx="533400" cy="3524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pt-PT" sz="1100"/>
        </a:p>
      </xdr:txBody>
    </xdr:sp>
    <xdr:clientData/>
  </xdr:twoCellAnchor>
  <xdr:twoCellAnchor>
    <xdr:from>
      <xdr:col>3</xdr:col>
      <xdr:colOff>228600</xdr:colOff>
      <xdr:row>18</xdr:row>
      <xdr:rowOff>152400</xdr:rowOff>
    </xdr:from>
    <xdr:to>
      <xdr:col>12</xdr:col>
      <xdr:colOff>228600</xdr:colOff>
      <xdr:row>21</xdr:row>
      <xdr:rowOff>66675</xdr:rowOff>
    </xdr:to>
    <xdr:sp macro="" textlink="">
      <xdr:nvSpPr>
        <xdr:cNvPr id="58" name="Oval 57">
          <a:extLst>
            <a:ext uri="{FF2B5EF4-FFF2-40B4-BE49-F238E27FC236}">
              <a16:creationId xmlns:a16="http://schemas.microsoft.com/office/drawing/2014/main" id="{00000000-0008-0000-0400-00003A000000}"/>
            </a:ext>
          </a:extLst>
        </xdr:cNvPr>
        <xdr:cNvSpPr/>
      </xdr:nvSpPr>
      <xdr:spPr bwMode="auto">
        <a:xfrm>
          <a:off x="1685925" y="3143250"/>
          <a:ext cx="5486400" cy="400050"/>
        </a:xfrm>
        <a:prstGeom prst="ellipse">
          <a:avLst/>
        </a:prstGeom>
        <a:noFill/>
        <a:ln w="28575"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sd="4266498984">
                <a:custGeom>
                  <a:avLst/>
                  <a:gdLst>
                    <a:gd name="connsiteX0" fmla="*/ 0 w 1219200"/>
                    <a:gd name="connsiteY0" fmla="*/ 304800 h 609600"/>
                    <a:gd name="connsiteX1" fmla="*/ 609600 w 1219200"/>
                    <a:gd name="connsiteY1" fmla="*/ 0 h 609600"/>
                    <a:gd name="connsiteX2" fmla="*/ 1219200 w 1219200"/>
                    <a:gd name="connsiteY2" fmla="*/ 304800 h 609600"/>
                    <a:gd name="connsiteX3" fmla="*/ 609600 w 1219200"/>
                    <a:gd name="connsiteY3" fmla="*/ 609600 h 609600"/>
                    <a:gd name="connsiteX4" fmla="*/ 0 w 1219200"/>
                    <a:gd name="connsiteY4" fmla="*/ 304800 h 6096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19200" h="609600" extrusionOk="0">
                      <a:moveTo>
                        <a:pt x="0" y="304800"/>
                      </a:moveTo>
                      <a:cubicBezTo>
                        <a:pt x="5244" y="97015"/>
                        <a:pt x="306969" y="27422"/>
                        <a:pt x="609600" y="0"/>
                      </a:cubicBezTo>
                      <a:cubicBezTo>
                        <a:pt x="931218" y="-5692"/>
                        <a:pt x="1220417" y="132197"/>
                        <a:pt x="1219200" y="304800"/>
                      </a:cubicBezTo>
                      <a:cubicBezTo>
                        <a:pt x="1254834" y="449583"/>
                        <a:pt x="932675" y="644250"/>
                        <a:pt x="609600" y="609600"/>
                      </a:cubicBezTo>
                      <a:cubicBezTo>
                        <a:pt x="270271" y="618324"/>
                        <a:pt x="5585" y="468224"/>
                        <a:pt x="0" y="304800"/>
                      </a:cubicBezTo>
                      <a:close/>
                    </a:path>
                  </a:pathLst>
                </a:custGeom>
                <ask:type>
                  <ask:lineSketchNone/>
                </ask:type>
              </ask:lineSketchStyleProps>
            </a:ext>
          </a:extLst>
        </a:ln>
        <a:effectLst/>
      </xdr:spPr>
      <xdr:txBody>
        <a:bodyPr vertOverflow="clip" wrap="square" lIns="18288" tIns="0" rIns="0" bIns="0" rtlCol="0" anchor="ctr" upright="1"/>
        <a:lstStyle/>
        <a:p>
          <a:pPr marL="0" indent="0" algn="l"/>
          <a:endParaRPr lang="pt-PT" sz="1100">
            <a:latin typeface="+mn-lt"/>
            <a:ea typeface="+mn-ea"/>
            <a:cs typeface="+mn-cs"/>
          </a:endParaRPr>
        </a:p>
      </xdr:txBody>
    </xdr:sp>
    <xdr:clientData/>
  </xdr:twoCellAnchor>
  <xdr:twoCellAnchor editAs="oneCell">
    <xdr:from>
      <xdr:col>1</xdr:col>
      <xdr:colOff>504825</xdr:colOff>
      <xdr:row>88</xdr:row>
      <xdr:rowOff>47626</xdr:rowOff>
    </xdr:from>
    <xdr:to>
      <xdr:col>12</xdr:col>
      <xdr:colOff>531225</xdr:colOff>
      <xdr:row>89</xdr:row>
      <xdr:rowOff>142320</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1"/>
        <a:stretch>
          <a:fillRect/>
        </a:stretch>
      </xdr:blipFill>
      <xdr:spPr>
        <a:xfrm>
          <a:off x="742950" y="14373226"/>
          <a:ext cx="6732000" cy="256619"/>
        </a:xfrm>
        <a:prstGeom prst="rect">
          <a:avLst/>
        </a:prstGeom>
        <a:solidFill>
          <a:srgbClr val="FFFFFF">
            <a:shade val="85000"/>
          </a:srgbClr>
        </a:solidFill>
        <a:ln w="190500" cap="sq">
          <a:noFill/>
          <a:miter lim="800000"/>
        </a:ln>
        <a:effectLst>
          <a:innerShdw blurRad="114300">
            <a:prstClr val="black"/>
          </a:inn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123824</xdr:colOff>
      <xdr:row>0</xdr:row>
      <xdr:rowOff>76199</xdr:rowOff>
    </xdr:from>
    <xdr:to>
      <xdr:col>11</xdr:col>
      <xdr:colOff>498113</xdr:colOff>
      <xdr:row>62</xdr:row>
      <xdr:rowOff>85724</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3824" y="76199"/>
          <a:ext cx="7079889" cy="100488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A402BDB-9C0A-40E9-94BB-1BE14243979B}" name="Tabela2" displayName="Tabela2" ref="B2:D20" totalsRowShown="0" headerRowDxfId="16" headerRowBorderDxfId="15">
  <tableColumns count="3">
    <tableColumn id="1" xr3:uid="{7DBA4C18-04B4-4A27-AF34-E9774CE39E66}" name="Capítulo" dataDxfId="14"/>
    <tableColumn id="2" xr3:uid="{14D93AAB-E556-4162-B623-997A1FA575FC}" name="Designação " dataDxfId="13">
      <calculatedColumnFormula>VLOOKUP(B3&amp;"00000000",Tabela1[[IF]:[Designação Eco Rec]],2,FALSE)</calculatedColumnFormula>
    </tableColumn>
    <tableColumn id="3" xr3:uid="{5E0ADE1D-743C-4F57-9AF0-2412024B8038}" name="Observaçao (DL 26/2002)" dataDxfId="12"/>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58F140-AE09-4A2A-A404-0EAD4411813A}" name="Tabela1" displayName="Tabela1" ref="A1:G386" totalsRowShown="0" headerRowDxfId="11" dataDxfId="10">
  <tableColumns count="7">
    <tableColumn id="1" xr3:uid="{200405D9-33E4-4C26-8EB9-22D107C97747}" name="Capítulo" dataDxfId="9"/>
    <tableColumn id="2" xr3:uid="{91A6CA4F-F7F3-4EC9-837F-C4948E0CA910}" name="Grupo" dataDxfId="8"/>
    <tableColumn id="3" xr3:uid="{44B8D1FF-68D0-4079-A401-4204E262F866}" name="Artigo" dataDxfId="7"/>
    <tableColumn id="4" xr3:uid="{F70A7302-1997-41D0-A0EB-9F745F2749B4}" name="Sub-art" dataDxfId="6"/>
    <tableColumn id="5" xr3:uid="{02ED05EC-55D9-4C65-A26D-481CBAF6F9D2}" name="Rub" dataDxfId="5"/>
    <tableColumn id="6" xr3:uid="{8092B861-E74A-4C31-B156-7DD2E4999AC9}" name="IF" dataDxfId="4"/>
    <tableColumn id="7" xr3:uid="{1669DFEE-1A51-44E0-9E2F-397817EF9D9F}" name="Designação Eco Rec" dataDxfId="3"/>
  </tableColumns>
  <tableStyleInfo name="TableStyleMedium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B1:W50"/>
  <sheetViews>
    <sheetView showGridLines="0" showRowColHeaders="0" showZeros="0" tabSelected="1" showOutlineSymbols="0" topLeftCell="A2" zoomScaleNormal="100" workbookViewId="0">
      <selection activeCell="C5" sqref="C5:D5"/>
    </sheetView>
  </sheetViews>
  <sheetFormatPr defaultRowHeight="12.75" x14ac:dyDescent="0.2"/>
  <cols>
    <col min="1" max="1" width="9.140625" style="12"/>
    <col min="2" max="6" width="4.28515625" style="12" customWidth="1"/>
    <col min="7" max="7" width="53.42578125" style="12" customWidth="1"/>
    <col min="8" max="8" width="6.7109375" style="12" customWidth="1"/>
    <col min="9" max="9" width="10.7109375" style="14" customWidth="1"/>
    <col min="10" max="10" width="3" style="15" customWidth="1"/>
    <col min="11" max="11" width="5.28515625" style="15" customWidth="1"/>
    <col min="12" max="17" width="10" style="15" hidden="1" customWidth="1"/>
    <col min="18" max="18" width="10" style="12" hidden="1" customWidth="1"/>
    <col min="19" max="19" width="9.140625" style="12" hidden="1" customWidth="1"/>
    <col min="20" max="20" width="11.7109375" style="12" hidden="1" customWidth="1"/>
    <col min="21" max="21" width="9.140625" style="12" hidden="1" customWidth="1"/>
    <col min="22" max="22" width="27.5703125" style="12" hidden="1" customWidth="1"/>
    <col min="23" max="23" width="9.140625" style="12" hidden="1" customWidth="1"/>
    <col min="24" max="16384" width="9.140625" style="12"/>
  </cols>
  <sheetData>
    <row r="1" spans="2:20" ht="39" customHeight="1" x14ac:dyDescent="0.2">
      <c r="G1" s="13"/>
      <c r="Q1" s="15">
        <f>VLOOKUP('Dados mestre'!K11,'Dados mestre'!A3:C6,2,FALSE)</f>
        <v>0</v>
      </c>
    </row>
    <row r="2" spans="2:20" x14ac:dyDescent="0.2">
      <c r="C2" s="16"/>
      <c r="D2" s="16"/>
      <c r="E2" s="16"/>
      <c r="F2" s="16"/>
      <c r="G2" s="17" t="s">
        <v>0</v>
      </c>
      <c r="H2" s="16"/>
      <c r="I2" s="16"/>
    </row>
    <row r="3" spans="2:20" s="18" customFormat="1" ht="22.5" customHeight="1" x14ac:dyDescent="0.2">
      <c r="B3" s="287" t="str">
        <f ca="1">IF('Dados mestre'!F17="","Ano económico de " &amp; 'Extensos Euros'!A9,"Ano económico de " &amp;'Dados mestre'!F17)</f>
        <v>Ano económico de 2024</v>
      </c>
      <c r="C3" s="287"/>
      <c r="D3" s="287"/>
      <c r="E3" s="287"/>
      <c r="F3" s="287"/>
      <c r="G3" s="37" t="s">
        <v>16</v>
      </c>
      <c r="H3" s="13" t="s">
        <v>5</v>
      </c>
      <c r="I3" s="46"/>
      <c r="J3" s="19"/>
      <c r="K3" s="19"/>
      <c r="L3" s="19"/>
      <c r="M3" s="19"/>
      <c r="N3" s="19"/>
      <c r="O3" s="19"/>
      <c r="P3" s="19"/>
      <c r="Q3" s="19"/>
    </row>
    <row r="4" spans="2:20" s="18" customFormat="1" ht="12.75" customHeight="1" x14ac:dyDescent="0.2">
      <c r="B4" s="12"/>
      <c r="G4" s="20"/>
      <c r="H4" s="125"/>
      <c r="I4" s="126" t="str">
        <f>IF(E7&gt;"","("&amp;IF(C7="A036",'Dados mestre'!U53,IF(C7=" ","",VLOOKUP(IF(LEFT(C7,2)="A5","RAA-SFA",C7),'Dados mestre'!W11:X58,2,FALSE)))&amp;")","")</f>
        <v/>
      </c>
      <c r="J4" s="19"/>
      <c r="K4" s="19"/>
      <c r="L4" s="19"/>
      <c r="M4" s="19"/>
      <c r="N4" s="19"/>
      <c r="O4" s="19"/>
      <c r="P4" s="19"/>
      <c r="Q4" s="19"/>
    </row>
    <row r="5" spans="2:20" ht="30" customHeight="1" x14ac:dyDescent="0.25">
      <c r="B5" s="12" t="s">
        <v>17</v>
      </c>
      <c r="C5" s="302"/>
      <c r="D5" s="302"/>
      <c r="E5" s="12" t="s">
        <v>18</v>
      </c>
      <c r="G5" s="45" t="s">
        <v>12</v>
      </c>
      <c r="H5" s="295">
        <f>Total</f>
        <v>0</v>
      </c>
      <c r="I5" s="295"/>
    </row>
    <row r="6" spans="2:20" ht="18" customHeight="1" x14ac:dyDescent="0.2">
      <c r="B6" s="12" t="s">
        <v>6</v>
      </c>
      <c r="C6" s="234" t="str">
        <f>IF(E7&gt;"",VLOOKUP(E7,'Dados mestre'!M11:O116,3),"")</f>
        <v/>
      </c>
      <c r="D6" s="298" t="str">
        <f>IF(E7&gt;"",VLOOKUP(C6,'Dados mestre'!C23:D36,2),"")</f>
        <v/>
      </c>
      <c r="E6" s="299"/>
      <c r="F6" s="299"/>
      <c r="G6" s="299"/>
      <c r="H6" s="298"/>
      <c r="I6" s="298"/>
    </row>
    <row r="7" spans="2:20" ht="18" customHeight="1" x14ac:dyDescent="0.2">
      <c r="B7" s="12" t="s">
        <v>4</v>
      </c>
      <c r="C7" s="304" t="str">
        <f>IF(E7&gt;"",VLOOKUP(E7,'Dados mestre'!M11:P116,2),"")</f>
        <v/>
      </c>
      <c r="D7" s="304"/>
      <c r="E7" s="303"/>
      <c r="F7" s="303"/>
      <c r="G7" s="303"/>
      <c r="H7" s="303"/>
      <c r="I7" s="303"/>
    </row>
    <row r="8" spans="2:20" ht="21" customHeight="1" x14ac:dyDescent="0.2">
      <c r="B8" s="13"/>
      <c r="C8" s="34"/>
      <c r="D8" s="35"/>
      <c r="E8" s="35"/>
      <c r="F8" s="35"/>
      <c r="G8" s="35"/>
      <c r="H8" s="35"/>
      <c r="I8" s="35"/>
    </row>
    <row r="9" spans="2:20" ht="12.75" customHeight="1" x14ac:dyDescent="0.2">
      <c r="B9" s="40" t="s">
        <v>21</v>
      </c>
      <c r="C9" s="296"/>
      <c r="D9" s="296"/>
      <c r="E9" s="296"/>
      <c r="F9" s="296"/>
      <c r="G9" s="296"/>
      <c r="H9" s="41" t="s">
        <v>22</v>
      </c>
      <c r="I9" s="264"/>
    </row>
    <row r="10" spans="2:20" ht="6" customHeight="1" x14ac:dyDescent="0.2">
      <c r="B10" s="40"/>
      <c r="C10" s="127"/>
      <c r="D10" s="127"/>
      <c r="E10" s="127"/>
      <c r="F10" s="127"/>
      <c r="G10" s="127"/>
      <c r="H10" s="41"/>
      <c r="I10" s="128"/>
    </row>
    <row r="11" spans="2:20" ht="13.5" customHeight="1" x14ac:dyDescent="0.2">
      <c r="B11" s="301" t="str">
        <f>"entregar"&amp;'Dados mestre'!K12&amp;VLOOKUP('Dados mestre'!$K$11,'Dados mestre'!$C$42:$D$45,2)&amp;" da Secretaria Regional das Finanças, Planeamento e Administração Pública, a quantia de "&amp;'Extensos Euros'!A23</f>
        <v xml:space="preserve">entregar no Serviço de Caixa da DROT na Horta da Secretaria Regional das Finanças, Planeamento e Administração Pública, a quantia de </v>
      </c>
      <c r="C11" s="301"/>
      <c r="D11" s="301"/>
      <c r="E11" s="301"/>
      <c r="F11" s="301"/>
      <c r="G11" s="301"/>
      <c r="H11" s="301"/>
      <c r="I11" s="301"/>
    </row>
    <row r="12" spans="2:20" ht="13.5" customHeight="1" x14ac:dyDescent="0.2">
      <c r="B12" s="301"/>
      <c r="C12" s="301"/>
      <c r="D12" s="301"/>
      <c r="E12" s="301"/>
      <c r="F12" s="301"/>
      <c r="G12" s="301"/>
      <c r="H12" s="301"/>
      <c r="I12" s="301"/>
    </row>
    <row r="13" spans="2:20" ht="13.5" customHeight="1" x14ac:dyDescent="0.2">
      <c r="B13" s="301"/>
      <c r="C13" s="301"/>
      <c r="D13" s="301"/>
      <c r="E13" s="301"/>
      <c r="F13" s="301"/>
      <c r="G13" s="301"/>
      <c r="H13" s="301"/>
      <c r="I13" s="301"/>
    </row>
    <row r="14" spans="2:20" ht="12.75" customHeight="1" x14ac:dyDescent="0.2">
      <c r="B14" s="300" t="s">
        <v>11</v>
      </c>
      <c r="C14" s="300"/>
      <c r="D14" s="300"/>
      <c r="E14" s="300"/>
      <c r="F14" s="300"/>
      <c r="G14" s="300"/>
      <c r="H14" s="300"/>
      <c r="I14" s="300"/>
      <c r="T14" s="43"/>
    </row>
    <row r="15" spans="2:20" ht="13.5" customHeight="1" x14ac:dyDescent="0.2">
      <c r="B15" s="297" t="s">
        <v>633</v>
      </c>
      <c r="C15" s="297"/>
      <c r="D15" s="297"/>
      <c r="E15" s="297"/>
      <c r="F15" s="297"/>
      <c r="G15" s="297"/>
      <c r="H15" s="297"/>
      <c r="I15" s="297"/>
    </row>
    <row r="16" spans="2:20" ht="12.75" customHeight="1" x14ac:dyDescent="0.2">
      <c r="B16" s="297"/>
      <c r="C16" s="297"/>
      <c r="D16" s="297"/>
      <c r="E16" s="297"/>
      <c r="F16" s="297"/>
      <c r="G16" s="297"/>
      <c r="H16" s="297"/>
      <c r="I16" s="297"/>
    </row>
    <row r="17" spans="2:23" x14ac:dyDescent="0.2">
      <c r="B17" s="297"/>
      <c r="C17" s="297"/>
      <c r="D17" s="297"/>
      <c r="E17" s="297"/>
      <c r="F17" s="297"/>
      <c r="G17" s="297"/>
      <c r="H17" s="297"/>
      <c r="I17" s="297"/>
    </row>
    <row r="18" spans="2:23" x14ac:dyDescent="0.2">
      <c r="B18" s="276" t="s">
        <v>19</v>
      </c>
      <c r="C18" s="276"/>
      <c r="D18" s="276"/>
      <c r="E18" s="276"/>
      <c r="F18" s="276"/>
      <c r="G18" s="276"/>
      <c r="H18" s="276"/>
      <c r="I18" s="276"/>
    </row>
    <row r="19" spans="2:23" s="21" customFormat="1" ht="21.75" customHeight="1" x14ac:dyDescent="0.2">
      <c r="B19" s="164" t="s">
        <v>601</v>
      </c>
      <c r="C19" s="165" t="s">
        <v>602</v>
      </c>
      <c r="D19" s="165" t="s">
        <v>603</v>
      </c>
      <c r="E19" s="166" t="s">
        <v>14</v>
      </c>
      <c r="F19" s="166" t="s">
        <v>354</v>
      </c>
      <c r="G19" s="165" t="s">
        <v>3</v>
      </c>
      <c r="H19" s="279" t="s">
        <v>604</v>
      </c>
      <c r="I19" s="280"/>
      <c r="L19" s="161" t="s">
        <v>610</v>
      </c>
      <c r="M19" s="159" t="s">
        <v>609</v>
      </c>
      <c r="N19" s="143" t="s">
        <v>605</v>
      </c>
      <c r="O19" s="146" t="s">
        <v>606</v>
      </c>
      <c r="P19" s="149" t="s">
        <v>607</v>
      </c>
      <c r="Q19" s="152" t="s">
        <v>608</v>
      </c>
      <c r="R19" s="155" t="s">
        <v>611</v>
      </c>
    </row>
    <row r="20" spans="2:23" ht="48" customHeight="1" x14ac:dyDescent="0.2">
      <c r="B20" s="137"/>
      <c r="C20" s="139" t="str">
        <f>IF(MID(O21,3,2)="00","",IF(L20="N"," 
"&amp;MID(O21,3,2),""))</f>
        <v/>
      </c>
      <c r="D20" s="139" t="str">
        <f>IF(L20="N",IF(M20="art",""," 
"&amp;MID(P21,5,2)),"")</f>
        <v xml:space="preserve"> 
</v>
      </c>
      <c r="E20" s="139" t="str">
        <f>IF(L20="N",IF(M20="sar","",IF(M20="art",""," 
"&amp;MID(Q21,7,2))),"")</f>
        <v xml:space="preserve"> 
</v>
      </c>
      <c r="F20" s="139"/>
      <c r="G20" s="138" t="str">
        <f>IF(L20&lt;&gt;"N",L21,S21&amp;" 
"&amp;T21&amp;" 
"&amp;U21&amp;" 
"&amp;V21)</f>
        <v xml:space="preserve"> 
</v>
      </c>
      <c r="H20" s="290"/>
      <c r="I20" s="291"/>
      <c r="J20" s="22"/>
      <c r="K20" s="22"/>
      <c r="L20" s="162" t="str">
        <f>IF(B20="",IF(G21="","N","E0"),IF(G21="","E0",IF(N20=LEFT(O21,2),"N","E1")))</f>
        <v>N</v>
      </c>
      <c r="M20" s="160" t="str">
        <f>IF(Q20="00","art",IF(R20="00","sar","rub"))</f>
        <v>rub</v>
      </c>
      <c r="N20" s="144" t="str">
        <f>IF(B20&lt;&gt;"",B20,"")</f>
        <v/>
      </c>
      <c r="O20" s="147" t="str">
        <f>MID(O21,3,2)</f>
        <v>00</v>
      </c>
      <c r="P20" s="150" t="str">
        <f>MID(P21,5,2)</f>
        <v/>
      </c>
      <c r="Q20" s="153" t="str">
        <f>MID(Q21,7,2)</f>
        <v/>
      </c>
      <c r="R20" s="156" t="str">
        <f>RIGHT(R21,2)</f>
        <v/>
      </c>
    </row>
    <row r="21" spans="2:23" x14ac:dyDescent="0.2">
      <c r="B21" s="141"/>
      <c r="C21" s="140"/>
      <c r="D21" s="140" t="str">
        <f>IF(L20="S","",IF(M20="art",P20,""))</f>
        <v/>
      </c>
      <c r="E21" s="140" t="str">
        <f>IF(L20="S","",IF(M20="sar",Q20,""))</f>
        <v/>
      </c>
      <c r="F21" s="140" t="str">
        <f>IF(L20="S","",IF(M20="rub",R20,""))</f>
        <v/>
      </c>
      <c r="G21" s="142"/>
      <c r="H21" s="292"/>
      <c r="I21" s="293"/>
      <c r="J21" s="22"/>
      <c r="K21" s="22"/>
      <c r="L21" s="163" t="str">
        <f>IF(L20="E0","O Capítulo e a Desinação têm de estar ambos preenchidos.","")&amp; IF(L20="E1","ERRO: O Capítulo e a Desinação devem corresponder."&amp;" O Capítulo escolhido é o "&amp;B20&amp;" , enquanto a designação atual pertence ao capítulo "&amp;LEFT(O21,2)&amp;".","")</f>
        <v/>
      </c>
      <c r="M21" s="160"/>
      <c r="N21" s="144" t="str">
        <f>B20&amp;"00000000"</f>
        <v>00000000</v>
      </c>
      <c r="O21" s="147" t="str">
        <f>LEFT(RIGHT(G21,10),4)&amp;"000000"</f>
        <v>000000</v>
      </c>
      <c r="P21" s="150" t="str">
        <f>LEFT(RIGHT(G21,10),6)&amp;"0000"</f>
        <v>0000</v>
      </c>
      <c r="Q21" s="153" t="str">
        <f>LEFT(RIGHT(G21,10),8)&amp;"00"</f>
        <v>00</v>
      </c>
      <c r="R21" s="157" t="str">
        <f>RIGHT(G21,10)</f>
        <v/>
      </c>
      <c r="S21" s="145" t="str">
        <f>IF(B20="","",LEFT(VLOOKUP(N21,'Itens Financeiros'!$F$2:$G$304,2,FALSE),60))</f>
        <v/>
      </c>
      <c r="T21" s="148" t="str">
        <f>IF(G21="","",LEFT(VLOOKUP(O21,'Itens Financeiros'!$F$2:$G$304,2,FALSE),60))</f>
        <v/>
      </c>
      <c r="U21" s="151" t="str">
        <f>IF(G21="","",IF(M20="art","",LEFT(VLOOKUP(P21,'Itens Financeiros'!$F$2:$G$304,2,FALSE),60)))</f>
        <v/>
      </c>
      <c r="V21" s="154" t="str">
        <f>IF(G21="","",IF(Q20&lt;&gt;"00",LEFT(VLOOKUP(Q21,'Itens Financeiros'!$F$2:$G$304,2,FALSE),60),""))</f>
        <v/>
      </c>
      <c r="W21" s="158" t="str">
        <f>IF(G21="","",IF(R20&lt;&gt;"00",LEFT(VLOOKUP(R21,'Itens Financeiros'!$F$2:$G$304,2,FALSE),60),""))</f>
        <v/>
      </c>
    </row>
    <row r="22" spans="2:23" ht="48" customHeight="1" x14ac:dyDescent="0.2">
      <c r="B22" s="137"/>
      <c r="C22" s="139" t="str">
        <f>IF(MID(O23,3,2)="00","",IF(L22="N"," 
"&amp;MID(O23,3,2),""))</f>
        <v/>
      </c>
      <c r="D22" s="139" t="str">
        <f t="shared" ref="D22" si="0">IF(L22="N",IF(M22="art",""," 
"&amp;MID(P23,5,2)),"")</f>
        <v xml:space="preserve"> 
</v>
      </c>
      <c r="E22" s="139" t="str">
        <f t="shared" ref="E22" si="1">IF(L22="N",IF(M22="sar","",IF(M22="art",""," 
"&amp;MID(Q23,7,2))),"")</f>
        <v xml:space="preserve"> 
</v>
      </c>
      <c r="F22" s="139"/>
      <c r="G22" s="138" t="str">
        <f t="shared" ref="G22" si="2">IF(L22&lt;&gt;"N",L23,S23&amp;" 
"&amp;T23&amp;" 
"&amp;U23&amp;" 
"&amp;V23)</f>
        <v xml:space="preserve"> 
</v>
      </c>
      <c r="H22" s="290"/>
      <c r="I22" s="291"/>
      <c r="J22" s="22"/>
      <c r="K22" s="22"/>
      <c r="L22" s="162" t="str">
        <f t="shared" ref="L22" si="3">IF(B22="",IF(G23="","N","E0"),IF(G23="","E0",IF(N22=LEFT(O23,2),"N","E1")))</f>
        <v>N</v>
      </c>
      <c r="M22" s="160" t="str">
        <f t="shared" ref="M22" si="4">IF(Q22="00","art",IF(R22="00","sar","rub"))</f>
        <v>rub</v>
      </c>
      <c r="N22" s="144" t="str">
        <f t="shared" ref="N22" si="5">IF(B22&lt;&gt;"",B22,"")</f>
        <v/>
      </c>
      <c r="O22" s="147" t="str">
        <f t="shared" ref="O22" si="6">MID(O23,3,2)</f>
        <v>00</v>
      </c>
      <c r="P22" s="150" t="str">
        <f t="shared" ref="P22" si="7">MID(P23,5,2)</f>
        <v/>
      </c>
      <c r="Q22" s="153" t="str">
        <f t="shared" ref="Q22" si="8">MID(Q23,7,2)</f>
        <v/>
      </c>
      <c r="R22" s="156" t="str">
        <f t="shared" ref="R22" si="9">RIGHT(R23,2)</f>
        <v/>
      </c>
    </row>
    <row r="23" spans="2:23" x14ac:dyDescent="0.2">
      <c r="B23" s="141"/>
      <c r="C23" s="140"/>
      <c r="D23" s="140" t="str">
        <f t="shared" ref="D23" si="10">IF(L22="S","",IF(M22="art",P22,""))</f>
        <v/>
      </c>
      <c r="E23" s="140" t="str">
        <f t="shared" ref="E23" si="11">IF(L22="S","",IF(M22="sar",Q22,""))</f>
        <v/>
      </c>
      <c r="F23" s="140" t="str">
        <f t="shared" ref="F23" si="12">IF(L22="S","",IF(M22="rub",R22,""))</f>
        <v/>
      </c>
      <c r="G23" s="142"/>
      <c r="H23" s="292"/>
      <c r="I23" s="293"/>
      <c r="J23" s="22"/>
      <c r="K23" s="22"/>
      <c r="L23" s="163" t="str">
        <f>IF(L22="E0","O Capítulo e a Desinação têm de estar ambos preenchidos.","")&amp; IF(L22="E1","ERRO: O Capítulo e a Desinação devem corresponder."&amp;" O Capítulo escolhido é o "&amp;B22&amp;" , enquanto a designação atual pertence ao capítulo "&amp;LEFT(O23,2)&amp;".","")</f>
        <v/>
      </c>
      <c r="M23" s="160"/>
      <c r="N23" s="144" t="str">
        <f t="shared" ref="N23" si="13">B22&amp;"00000000"</f>
        <v>00000000</v>
      </c>
      <c r="O23" s="147" t="str">
        <f t="shared" ref="O23" si="14">LEFT(RIGHT(G23,10),4)&amp;"000000"</f>
        <v>000000</v>
      </c>
      <c r="P23" s="150" t="str">
        <f t="shared" ref="P23" si="15">LEFT(RIGHT(G23,10),6)&amp;"0000"</f>
        <v>0000</v>
      </c>
      <c r="Q23" s="153" t="str">
        <f t="shared" ref="Q23" si="16">LEFT(RIGHT(G23,10),8)&amp;"00"</f>
        <v>00</v>
      </c>
      <c r="R23" s="157" t="str">
        <f t="shared" ref="R23" si="17">RIGHT(G23,10)</f>
        <v/>
      </c>
      <c r="S23" s="145" t="str">
        <f>IF(B22="","",LEFT(VLOOKUP(N23,'Itens Financeiros'!$F$2:$G$304,2,FALSE),60))</f>
        <v/>
      </c>
      <c r="T23" s="148" t="str">
        <f>IF(G23="","",LEFT(VLOOKUP(O23,'Itens Financeiros'!$F$2:$G$304,2,FALSE),60))</f>
        <v/>
      </c>
      <c r="U23" s="151" t="str">
        <f>IF(G23="","",IF(M22="art","",LEFT(VLOOKUP(P23,'Itens Financeiros'!$F$2:$G$304,2,FALSE),60)))</f>
        <v/>
      </c>
      <c r="V23" s="154" t="str">
        <f>IF(G23="","",IF(Q22&lt;&gt;"00",LEFT(VLOOKUP(Q23,'Itens Financeiros'!$F$2:$G$304,2,FALSE),60),""))</f>
        <v/>
      </c>
      <c r="W23" s="158" t="str">
        <f>IF(G23="","",IF(R22&lt;&gt;"00",LEFT(VLOOKUP(R23,'Itens Financeiros'!$F$2:$G$304,2,FALSE),60),""))</f>
        <v/>
      </c>
    </row>
    <row r="24" spans="2:23" ht="48" customHeight="1" x14ac:dyDescent="0.2">
      <c r="B24" s="137"/>
      <c r="C24" s="139" t="str">
        <f>IF(MID(O25,3,2)="00","",IF(L24="N"," 
"&amp;MID(O25,3,2),""))</f>
        <v/>
      </c>
      <c r="D24" s="139" t="str">
        <f t="shared" ref="D24" si="18">IF(L24="N",IF(M24="art",""," 
"&amp;MID(P25,5,2)),"")</f>
        <v xml:space="preserve"> 
</v>
      </c>
      <c r="E24" s="139" t="str">
        <f t="shared" ref="E24" si="19">IF(L24="N",IF(M24="sar","",IF(M24="art",""," 
"&amp;MID(Q25,7,2))),"")</f>
        <v xml:space="preserve"> 
</v>
      </c>
      <c r="F24" s="139"/>
      <c r="G24" s="138" t="str">
        <f t="shared" ref="G24" si="20">IF(L24&lt;&gt;"N",L25,S25&amp;" 
"&amp;T25&amp;" 
"&amp;U25&amp;" 
"&amp;V25)</f>
        <v xml:space="preserve"> 
</v>
      </c>
      <c r="H24" s="290"/>
      <c r="I24" s="291"/>
      <c r="J24" s="22"/>
      <c r="K24" s="22"/>
      <c r="L24" s="162" t="str">
        <f t="shared" ref="L24" si="21">IF(B24="",IF(G25="","N","E0"),IF(G25="","E0",IF(N24=LEFT(O25,2),"N","E1")))</f>
        <v>N</v>
      </c>
      <c r="M24" s="160" t="str">
        <f t="shared" ref="M24" si="22">IF(Q24="00","art",IF(R24="00","sar","rub"))</f>
        <v>rub</v>
      </c>
      <c r="N24" s="144" t="str">
        <f t="shared" ref="N24" si="23">IF(B24&lt;&gt;"",B24,"")</f>
        <v/>
      </c>
      <c r="O24" s="147" t="str">
        <f t="shared" ref="O24" si="24">MID(O25,3,2)</f>
        <v>00</v>
      </c>
      <c r="P24" s="150" t="str">
        <f t="shared" ref="P24" si="25">MID(P25,5,2)</f>
        <v/>
      </c>
      <c r="Q24" s="153" t="str">
        <f t="shared" ref="Q24" si="26">MID(Q25,7,2)</f>
        <v/>
      </c>
      <c r="R24" s="156" t="str">
        <f t="shared" ref="R24" si="27">RIGHT(R25,2)</f>
        <v/>
      </c>
    </row>
    <row r="25" spans="2:23" x14ac:dyDescent="0.2">
      <c r="B25" s="141"/>
      <c r="C25" s="140"/>
      <c r="D25" s="140" t="str">
        <f t="shared" ref="D25" si="28">IF(L24="S","",IF(M24="art",P24,""))</f>
        <v/>
      </c>
      <c r="E25" s="140" t="str">
        <f t="shared" ref="E25" si="29">IF(L24="S","",IF(M24="sar",Q24,""))</f>
        <v/>
      </c>
      <c r="F25" s="140" t="str">
        <f t="shared" ref="F25" si="30">IF(L24="S","",IF(M24="rub",R24,""))</f>
        <v/>
      </c>
      <c r="G25" s="142"/>
      <c r="H25" s="292"/>
      <c r="I25" s="293"/>
      <c r="J25" s="22"/>
      <c r="K25" s="22"/>
      <c r="L25" s="163" t="str">
        <f>IF(L24="E0","O Capítulo e a Desinação têm de estar ambos preenchidos.","")&amp; IF(L24="E1","ERRO: O Capítulo e a Desinação devem corresponder."&amp;" O Capítulo escolhido é o "&amp;B24&amp;" , enquanto a designação atual pertence ao capítulo "&amp;LEFT(O25,2)&amp;".","")</f>
        <v/>
      </c>
      <c r="M25" s="160"/>
      <c r="N25" s="144" t="str">
        <f t="shared" ref="N25" si="31">B24&amp;"00000000"</f>
        <v>00000000</v>
      </c>
      <c r="O25" s="147" t="str">
        <f t="shared" ref="O25" si="32">LEFT(RIGHT(G25,10),4)&amp;"000000"</f>
        <v>000000</v>
      </c>
      <c r="P25" s="150" t="str">
        <f t="shared" ref="P25" si="33">LEFT(RIGHT(G25,10),6)&amp;"0000"</f>
        <v>0000</v>
      </c>
      <c r="Q25" s="153" t="str">
        <f t="shared" ref="Q25" si="34">LEFT(RIGHT(G25,10),8)&amp;"00"</f>
        <v>00</v>
      </c>
      <c r="R25" s="157" t="str">
        <f t="shared" ref="R25" si="35">RIGHT(G25,10)</f>
        <v/>
      </c>
      <c r="S25" s="145" t="str">
        <f>IF(B24="","",LEFT(VLOOKUP(N25,'Itens Financeiros'!$F$2:$G$304,2,FALSE),60))</f>
        <v/>
      </c>
      <c r="T25" s="148" t="str">
        <f>IF(G25="","",LEFT(VLOOKUP(O25,'Itens Financeiros'!$F$2:$G$304,2,FALSE),60))</f>
        <v/>
      </c>
      <c r="U25" s="151" t="str">
        <f>IF(G25="","",IF(M24="art","",LEFT(VLOOKUP(P25,'Itens Financeiros'!$F$2:$G$304,2,FALSE),60)))</f>
        <v/>
      </c>
      <c r="V25" s="154" t="str">
        <f>IF(G25="","",IF(Q24&lt;&gt;"00",LEFT(VLOOKUP(Q25,'Itens Financeiros'!$F$2:$G$304,2,FALSE),60),""))</f>
        <v/>
      </c>
      <c r="W25" s="158" t="str">
        <f>IF(G25="","",IF(R24&lt;&gt;"00",LEFT(VLOOKUP(R25,'Itens Financeiros'!$F$2:$G$304,2,FALSE),60),""))</f>
        <v/>
      </c>
    </row>
    <row r="26" spans="2:23" ht="48" customHeight="1" x14ac:dyDescent="0.2">
      <c r="B26" s="137"/>
      <c r="C26" s="139" t="str">
        <f>IF(MID(O27,3,2)="00","",IF(L26="N"," 
"&amp;MID(O27,3,2),""))</f>
        <v/>
      </c>
      <c r="D26" s="139" t="str">
        <f t="shared" ref="D26" si="36">IF(L26="N",IF(M26="art",""," 
"&amp;MID(P27,5,2)),"")</f>
        <v xml:space="preserve"> 
</v>
      </c>
      <c r="E26" s="139" t="str">
        <f t="shared" ref="E26" si="37">IF(L26="N",IF(M26="sar","",IF(M26="art",""," 
"&amp;MID(Q27,7,2))),"")</f>
        <v xml:space="preserve"> 
</v>
      </c>
      <c r="F26" s="139"/>
      <c r="G26" s="138" t="str">
        <f t="shared" ref="G26" si="38">IF(L26&lt;&gt;"N",L27,S27&amp;" 
"&amp;T27&amp;" 
"&amp;U27&amp;" 
"&amp;V27)</f>
        <v xml:space="preserve"> 
</v>
      </c>
      <c r="H26" s="290"/>
      <c r="I26" s="291"/>
      <c r="J26" s="22"/>
      <c r="K26" s="22"/>
      <c r="L26" s="162" t="str">
        <f t="shared" ref="L26" si="39">IF(B26="",IF(G27="","N","E0"),IF(G27="","E0",IF(N26=LEFT(O27,2),"N","E1")))</f>
        <v>N</v>
      </c>
      <c r="M26" s="160" t="str">
        <f t="shared" ref="M26" si="40">IF(Q26="00","art",IF(R26="00","sar","rub"))</f>
        <v>rub</v>
      </c>
      <c r="N26" s="144" t="str">
        <f t="shared" ref="N26" si="41">IF(B26&lt;&gt;"",B26,"")</f>
        <v/>
      </c>
      <c r="O26" s="147" t="str">
        <f t="shared" ref="O26" si="42">MID(O27,3,2)</f>
        <v>00</v>
      </c>
      <c r="P26" s="150" t="str">
        <f t="shared" ref="P26" si="43">MID(P27,5,2)</f>
        <v/>
      </c>
      <c r="Q26" s="153" t="str">
        <f t="shared" ref="Q26" si="44">MID(Q27,7,2)</f>
        <v/>
      </c>
      <c r="R26" s="156" t="str">
        <f t="shared" ref="R26" si="45">RIGHT(R27,2)</f>
        <v/>
      </c>
    </row>
    <row r="27" spans="2:23" x14ac:dyDescent="0.2">
      <c r="B27" s="141"/>
      <c r="C27" s="140"/>
      <c r="D27" s="140" t="str">
        <f t="shared" ref="D27" si="46">IF(L26="S","",IF(M26="art",P26,""))</f>
        <v/>
      </c>
      <c r="E27" s="140" t="str">
        <f t="shared" ref="E27" si="47">IF(L26="S","",IF(M26="sar",Q26,""))</f>
        <v/>
      </c>
      <c r="F27" s="140" t="str">
        <f t="shared" ref="F27" si="48">IF(L26="S","",IF(M26="rub",R26,""))</f>
        <v/>
      </c>
      <c r="G27" s="142"/>
      <c r="H27" s="292"/>
      <c r="I27" s="293"/>
      <c r="J27" s="22"/>
      <c r="K27" s="22"/>
      <c r="L27" s="163" t="str">
        <f>IF(L26="E0","O Capítulo e a Desinação têm de estar ambos preenchidos.","")&amp; IF(L26="E1","ERRO: O Capítulo e a Desinação devem corresponder."&amp;" O Capítulo escolhido é o "&amp;B26&amp;" , enquanto a designação atual pertence ao capítulo "&amp;LEFT(O27,2)&amp;".","")</f>
        <v/>
      </c>
      <c r="M27" s="160"/>
      <c r="N27" s="144" t="str">
        <f t="shared" ref="N27" si="49">B26&amp;"00000000"</f>
        <v>00000000</v>
      </c>
      <c r="O27" s="147" t="str">
        <f t="shared" ref="O27" si="50">LEFT(RIGHT(G27,10),4)&amp;"000000"</f>
        <v>000000</v>
      </c>
      <c r="P27" s="150" t="str">
        <f t="shared" ref="P27" si="51">LEFT(RIGHT(G27,10),6)&amp;"0000"</f>
        <v>0000</v>
      </c>
      <c r="Q27" s="153" t="str">
        <f t="shared" ref="Q27" si="52">LEFT(RIGHT(G27,10),8)&amp;"00"</f>
        <v>00</v>
      </c>
      <c r="R27" s="157" t="str">
        <f t="shared" ref="R27" si="53">RIGHT(G27,10)</f>
        <v/>
      </c>
      <c r="S27" s="145" t="str">
        <f>IF(B26="","",LEFT(VLOOKUP(N27,'Itens Financeiros'!$F$2:$G$304,2,FALSE),60))</f>
        <v/>
      </c>
      <c r="T27" s="148" t="str">
        <f>IF(G27="","",LEFT(VLOOKUP(O27,'Itens Financeiros'!$F$2:$G$304,2,FALSE),60))</f>
        <v/>
      </c>
      <c r="U27" s="151" t="str">
        <f>IF(G27="","",IF(M26="art","",LEFT(VLOOKUP(P27,'Itens Financeiros'!$F$2:$G$304,2,FALSE),60)))</f>
        <v/>
      </c>
      <c r="V27" s="154" t="str">
        <f>IF(G27="","",IF(Q26&lt;&gt;"00",LEFT(VLOOKUP(PQ27,'Itens Financeiros'!$F$2:$G$304,2,FALSE),60),""))</f>
        <v/>
      </c>
      <c r="W27" s="158" t="str">
        <f>IF(G27="","",IF(R26&lt;&gt;"00",LEFT(VLOOKUP(R27,'Itens Financeiros'!$F$2:$G$304,2,FALSE),60),""))</f>
        <v/>
      </c>
    </row>
    <row r="28" spans="2:23" ht="48" customHeight="1" x14ac:dyDescent="0.2">
      <c r="B28" s="137"/>
      <c r="C28" s="139" t="str">
        <f>IF(MID(O29,3,2)="00","",IF(L28="N"," 
"&amp;MID(O29,3,2),""))</f>
        <v/>
      </c>
      <c r="D28" s="139" t="str">
        <f t="shared" ref="D28" si="54">IF(L28="N",IF(M28="art",""," 
"&amp;MID(P29,5,2)),"")</f>
        <v xml:space="preserve"> 
</v>
      </c>
      <c r="E28" s="139" t="str">
        <f t="shared" ref="E28" si="55">IF(L28="N",IF(M28="sar","",IF(M28="art",""," 
"&amp;MID(Q29,7,2))),"")</f>
        <v xml:space="preserve"> 
</v>
      </c>
      <c r="F28" s="139"/>
      <c r="G28" s="138" t="str">
        <f t="shared" ref="G28" si="56">IF(L28&lt;&gt;"N",L29,S29&amp;" 
"&amp;T29&amp;" 
"&amp;U29&amp;" 
"&amp;V29)</f>
        <v xml:space="preserve"> 
</v>
      </c>
      <c r="H28" s="290"/>
      <c r="I28" s="291"/>
      <c r="J28" s="22"/>
      <c r="K28" s="22"/>
      <c r="L28" s="162" t="str">
        <f t="shared" ref="L28" si="57">IF(B28="",IF(G29="","N","E0"),IF(G29="","E0",IF(N28=LEFT(O29,2),"N","E1")))</f>
        <v>N</v>
      </c>
      <c r="M28" s="160" t="str">
        <f t="shared" ref="M28" si="58">IF(Q28="00","art",IF(R28="00","sar","rub"))</f>
        <v>rub</v>
      </c>
      <c r="N28" s="144" t="str">
        <f t="shared" ref="N28" si="59">IF(B28&lt;&gt;"",B28,"")</f>
        <v/>
      </c>
      <c r="O28" s="147" t="str">
        <f t="shared" ref="O28" si="60">MID(O29,3,2)</f>
        <v>00</v>
      </c>
      <c r="P28" s="150" t="str">
        <f t="shared" ref="P28" si="61">MID(P29,5,2)</f>
        <v/>
      </c>
      <c r="Q28" s="153" t="str">
        <f t="shared" ref="Q28" si="62">MID(Q29,7,2)</f>
        <v/>
      </c>
      <c r="R28" s="156" t="str">
        <f t="shared" ref="R28" si="63">RIGHT(R29,2)</f>
        <v/>
      </c>
    </row>
    <row r="29" spans="2:23" x14ac:dyDescent="0.2">
      <c r="B29" s="141"/>
      <c r="C29" s="140"/>
      <c r="D29" s="140" t="str">
        <f t="shared" ref="D29" si="64">IF(L28="S","",IF(M28="art",P28,""))</f>
        <v/>
      </c>
      <c r="E29" s="140" t="str">
        <f t="shared" ref="E29" si="65">IF(L28="S","",IF(M28="sar",Q28,""))</f>
        <v/>
      </c>
      <c r="F29" s="140" t="str">
        <f t="shared" ref="F29" si="66">IF(L28="S","",IF(M28="rub",R28,""))</f>
        <v/>
      </c>
      <c r="G29" s="142"/>
      <c r="H29" s="292"/>
      <c r="I29" s="293"/>
      <c r="J29" s="22"/>
      <c r="K29" s="22"/>
      <c r="L29" s="163" t="str">
        <f>IF(L28="E0","O Capítulo e a Desinação têm de estar ambos preenchidos.","")&amp; IF(L28="E1","ERRO: O Capítulo e a Desinação devem corresponder."&amp;" O Capítulo escolhido é o "&amp;B28&amp;" , enquanto a designação atual pertence ao capítulo "&amp;LEFT(O29,2)&amp;".","")</f>
        <v/>
      </c>
      <c r="M29" s="160"/>
      <c r="N29" s="144" t="str">
        <f t="shared" ref="N29" si="67">B28&amp;"00000000"</f>
        <v>00000000</v>
      </c>
      <c r="O29" s="147" t="str">
        <f t="shared" ref="O29" si="68">LEFT(RIGHT(G29,10),4)&amp;"000000"</f>
        <v>000000</v>
      </c>
      <c r="P29" s="150" t="str">
        <f t="shared" ref="P29" si="69">LEFT(RIGHT(G29,10),6)&amp;"0000"</f>
        <v>0000</v>
      </c>
      <c r="Q29" s="153" t="str">
        <f t="shared" ref="Q29" si="70">LEFT(RIGHT(G29,10),8)&amp;"00"</f>
        <v>00</v>
      </c>
      <c r="R29" s="157" t="str">
        <f t="shared" ref="R29" si="71">RIGHT(G29,10)</f>
        <v/>
      </c>
      <c r="S29" s="145" t="str">
        <f>IF(B28="","",LEFT(VLOOKUP(N29,'Itens Financeiros'!$F$2:$G$304,2,FALSE),60))</f>
        <v/>
      </c>
      <c r="T29" s="148" t="str">
        <f>IF(G29="","",LEFT(VLOOKUP(O29,'Itens Financeiros'!$F$2:$G$304,2,FALSE),60))</f>
        <v/>
      </c>
      <c r="U29" s="151" t="str">
        <f>IF(G29="","",IF(M28="art","",LEFT(VLOOKUP(P29,'Itens Financeiros'!$F$2:$G$304,2,FALSE),60)))</f>
        <v/>
      </c>
      <c r="V29" s="154" t="str">
        <f>IF(G29="","",IF(Q28&lt;&gt;"00",LEFT(VLOOKUP(Q29,'Itens Financeiros'!$F$2:$G$304,2,FALSE),60),""))</f>
        <v/>
      </c>
      <c r="W29" s="158" t="str">
        <f>IF(G29="","",IF(R28&lt;&gt;"00",LEFT(VLOOKUP(R29,'Itens Financeiros'!$F$2:$G$304,2,FALSE),60),""))</f>
        <v/>
      </c>
    </row>
    <row r="30" spans="2:23" x14ac:dyDescent="0.2">
      <c r="B30" s="23"/>
      <c r="C30" s="24"/>
      <c r="D30" s="24"/>
      <c r="E30" s="24"/>
      <c r="F30" s="24"/>
      <c r="G30" s="38" t="s">
        <v>7</v>
      </c>
      <c r="H30" s="284">
        <f>ROUND(SUM(H20:I29),2)</f>
        <v>0</v>
      </c>
      <c r="I30" s="285"/>
      <c r="P30" s="25"/>
    </row>
    <row r="31" spans="2:23" s="29" customFormat="1" ht="6.75" customHeight="1" x14ac:dyDescent="0.2">
      <c r="B31" s="26"/>
      <c r="C31" s="26"/>
      <c r="D31" s="26"/>
      <c r="E31" s="26"/>
      <c r="F31" s="26"/>
      <c r="G31" s="27"/>
      <c r="H31" s="278"/>
      <c r="I31" s="278"/>
      <c r="J31" s="28"/>
      <c r="K31" s="28"/>
      <c r="L31" s="28"/>
      <c r="M31" s="28"/>
      <c r="N31" s="28"/>
      <c r="O31" s="28"/>
      <c r="P31" s="28"/>
      <c r="Q31" s="28"/>
    </row>
    <row r="32" spans="2:23" s="29" customFormat="1" ht="6" customHeight="1" x14ac:dyDescent="0.2">
      <c r="G32" s="30"/>
      <c r="H32" s="281"/>
      <c r="I32" s="281"/>
      <c r="J32" s="28"/>
      <c r="K32" s="28"/>
      <c r="L32" s="28"/>
      <c r="M32" s="28"/>
      <c r="N32" s="28"/>
      <c r="O32" s="28"/>
      <c r="P32" s="28"/>
      <c r="Q32" s="28"/>
    </row>
    <row r="33" spans="2:9" ht="27" customHeight="1" x14ac:dyDescent="0.2">
      <c r="B33" s="31"/>
      <c r="C33" s="283" t="str">
        <f>IF(E7&gt;" ",'Dados mestre'!Q9 &amp;", ","")&amp;IF(E7&gt;" ",'Extensos Euros'!A10&amp;" de "&amp;'Extensos Euros'!A11&amp;" de " &amp;'Extensos Euros'!A9,"")</f>
        <v/>
      </c>
      <c r="D33" s="283"/>
      <c r="E33" s="283"/>
      <c r="F33" s="283"/>
      <c r="G33" s="283"/>
      <c r="H33" s="283"/>
      <c r="I33" s="283"/>
    </row>
    <row r="34" spans="2:9" x14ac:dyDescent="0.2">
      <c r="B34" s="288" t="str">
        <f>IF('Dados mestre'!AB9=FALSE,"O/A Responsável","")</f>
        <v/>
      </c>
      <c r="C34" s="288"/>
      <c r="D34" s="288"/>
      <c r="E34" s="288"/>
      <c r="F34" s="288"/>
      <c r="G34" s="288"/>
      <c r="H34" s="288"/>
      <c r="I34" s="288"/>
    </row>
    <row r="35" spans="2:9" ht="12.75" customHeight="1" x14ac:dyDescent="0.2">
      <c r="B35" s="289" t="str">
        <f>IF('Dados mestre'!AB9=TRUE,"Observação:    Emissão da guia de receita a cargo "&amp;'Dados mestre'!K13&amp;VLOOKUP('Dados mestre'!K11,'Dados mestre'!C42:D45,2,FALSE)&amp;".","_____________________________________________")</f>
        <v>Observação:    Emissão da guia de receita a cargo  do Serviço de Caixa da DROT na Horta.</v>
      </c>
      <c r="C35" s="289"/>
      <c r="D35" s="289"/>
      <c r="E35" s="289"/>
      <c r="F35" s="289"/>
      <c r="G35" s="289"/>
      <c r="H35" s="289"/>
      <c r="I35" s="289"/>
    </row>
    <row r="36" spans="2:9" x14ac:dyDescent="0.2">
      <c r="B36" s="289"/>
      <c r="C36" s="289"/>
      <c r="D36" s="289"/>
      <c r="E36" s="289"/>
      <c r="F36" s="289"/>
      <c r="G36" s="289"/>
      <c r="H36" s="289"/>
      <c r="I36" s="289"/>
    </row>
    <row r="37" spans="2:9" ht="13.5" thickBot="1" x14ac:dyDescent="0.25">
      <c r="B37" s="282"/>
      <c r="C37" s="282"/>
      <c r="D37" s="282"/>
      <c r="E37" s="282"/>
      <c r="F37" s="282"/>
      <c r="G37" s="282"/>
      <c r="H37" s="282"/>
      <c r="I37" s="282"/>
    </row>
    <row r="39" spans="2:9" x14ac:dyDescent="0.2">
      <c r="C39" s="287" t="str">
        <f>VLOOKUP('Dados mestre'!K11,'Dados mestre'!C42:D45,2,FALSE)&amp;", "&amp;"______________________"</f>
        <v>Serviço de Caixa da DROT na Horta, ______________________</v>
      </c>
      <c r="D39" s="287"/>
      <c r="E39" s="287"/>
      <c r="F39" s="287"/>
      <c r="G39" s="287"/>
      <c r="H39" s="287"/>
      <c r="I39" s="287"/>
    </row>
    <row r="41" spans="2:9" x14ac:dyDescent="0.2">
      <c r="B41" s="294" t="s">
        <v>20</v>
      </c>
      <c r="C41" s="294"/>
      <c r="D41" s="294"/>
      <c r="E41" s="294"/>
      <c r="F41" s="294"/>
      <c r="G41" s="294"/>
      <c r="H41" s="294"/>
      <c r="I41" s="294"/>
    </row>
    <row r="43" spans="2:9" x14ac:dyDescent="0.2">
      <c r="B43" s="294" t="s">
        <v>285</v>
      </c>
      <c r="C43" s="294"/>
      <c r="D43" s="294"/>
      <c r="E43" s="294"/>
      <c r="F43" s="294"/>
      <c r="G43" s="294"/>
      <c r="H43" s="294"/>
      <c r="I43" s="294"/>
    </row>
    <row r="44" spans="2:9" ht="7.5" customHeight="1" x14ac:dyDescent="0.2"/>
    <row r="46" spans="2:9" x14ac:dyDescent="0.2">
      <c r="B46" s="286" t="s">
        <v>286</v>
      </c>
      <c r="C46" s="286"/>
      <c r="D46" s="286"/>
      <c r="E46" s="286"/>
      <c r="F46" s="286"/>
      <c r="G46" s="286"/>
      <c r="H46" s="286"/>
      <c r="I46" s="286"/>
    </row>
    <row r="47" spans="2:9" ht="13.5" thickBot="1" x14ac:dyDescent="0.25">
      <c r="B47" s="32"/>
      <c r="C47" s="32"/>
      <c r="D47" s="32"/>
      <c r="E47" s="32"/>
      <c r="F47" s="32"/>
      <c r="G47" s="32"/>
      <c r="H47" s="32"/>
      <c r="I47" s="33"/>
    </row>
    <row r="48" spans="2:9" x14ac:dyDescent="0.2">
      <c r="B48" s="277" t="s">
        <v>242</v>
      </c>
      <c r="C48" s="277"/>
      <c r="D48" s="277"/>
      <c r="E48" s="277"/>
      <c r="F48" s="277"/>
      <c r="G48" s="277"/>
      <c r="H48" s="277"/>
      <c r="I48" s="277"/>
    </row>
    <row r="49" spans="2:9" x14ac:dyDescent="0.2">
      <c r="B49" s="275" t="s">
        <v>182</v>
      </c>
      <c r="C49" s="275"/>
      <c r="D49" s="275"/>
      <c r="E49" s="275"/>
      <c r="F49" s="275"/>
      <c r="G49" s="275"/>
      <c r="H49" s="275"/>
      <c r="I49" s="275"/>
    </row>
    <row r="50" spans="2:9" x14ac:dyDescent="0.2">
      <c r="B50" s="44" t="s">
        <v>1093</v>
      </c>
      <c r="C50" s="36"/>
    </row>
  </sheetData>
  <sheetProtection algorithmName="SHA-512" hashValue="WmrJyoJnC0zPI2yyhUqV8vYwOJ9aBPAe2ow12sPt+CEvSUKxxal+Z4Soc7AHo/+fqncvhRwhbndHDIIPyN/5fQ==" saltValue="kCX6+fq+4MQnV91vs6h9Mw==" spinCount="100000" sheet="1" objects="1" scenarios="1" selectLockedCells="1"/>
  <mergeCells count="30">
    <mergeCell ref="B41:I41"/>
    <mergeCell ref="H28:I29"/>
    <mergeCell ref="B3:F3"/>
    <mergeCell ref="H20:I21"/>
    <mergeCell ref="H22:I23"/>
    <mergeCell ref="H5:I5"/>
    <mergeCell ref="C9:G9"/>
    <mergeCell ref="B15:I17"/>
    <mergeCell ref="D6:I6"/>
    <mergeCell ref="B14:I14"/>
    <mergeCell ref="B11:I13"/>
    <mergeCell ref="C5:D5"/>
    <mergeCell ref="E7:I7"/>
    <mergeCell ref="C7:D7"/>
    <mergeCell ref="B49:I49"/>
    <mergeCell ref="B18:I18"/>
    <mergeCell ref="B48:I48"/>
    <mergeCell ref="H31:I31"/>
    <mergeCell ref="H19:I19"/>
    <mergeCell ref="H32:I32"/>
    <mergeCell ref="B37:I37"/>
    <mergeCell ref="C33:I33"/>
    <mergeCell ref="H30:I30"/>
    <mergeCell ref="B46:I46"/>
    <mergeCell ref="C39:I39"/>
    <mergeCell ref="B34:I34"/>
    <mergeCell ref="B35:I36"/>
    <mergeCell ref="H24:I25"/>
    <mergeCell ref="H26:I27"/>
    <mergeCell ref="B43:I43"/>
  </mergeCells>
  <phoneticPr fontId="0" type="noConversion"/>
  <conditionalFormatting sqref="B20 B24 B26 B28">
    <cfRule type="expression" dxfId="2" priority="1">
      <formula>$L20&lt;&gt;"N"</formula>
    </cfRule>
  </conditionalFormatting>
  <conditionalFormatting sqref="G20 G22 G24 G26 G28">
    <cfRule type="expression" dxfId="1" priority="4">
      <formula>$L20&lt;&gt;"N"</formula>
    </cfRule>
  </conditionalFormatting>
  <conditionalFormatting sqref="G21 G23 G25 G27 G29">
    <cfRule type="expression" dxfId="0" priority="2">
      <formula>$L20&lt;&gt;"N"</formula>
    </cfRule>
  </conditionalFormatting>
  <dataValidations xWindow="444" yWindow="290" count="1">
    <dataValidation allowBlank="1" showInputMessage="1" sqref="H20 H22 H24 H26 H28" xr:uid="{00000000-0002-0000-0000-000004000000}"/>
  </dataValidations>
  <printOptions horizontalCentered="1"/>
  <pageMargins left="0.23622047244094491" right="0.23622047244094491" top="0.27559055118110237" bottom="0.19685039370078741" header="0.31496062992125984" footer="0.31496062992125984"/>
  <pageSetup paperSize="9" scale="92" orientation="portrait" horizontalDpi="4294967293" verticalDpi="360" r:id="rId1"/>
  <headerFooter alignWithMargins="0"/>
  <ignoredErrors>
    <ignoredError sqref="D21:E21 D23:E23 D25:E25 D27:E27" formula="1"/>
  </ignoredErrors>
  <drawing r:id="rId2"/>
  <legacyDrawing r:id="rId3"/>
  <extLst>
    <ext xmlns:x14="http://schemas.microsoft.com/office/spreadsheetml/2009/9/main" uri="{CCE6A557-97BC-4b89-ADB6-D9C93CAAB3DF}">
      <x14:dataValidations xmlns:xm="http://schemas.microsoft.com/office/excel/2006/main" xWindow="444" yWindow="290" count="7">
        <x14:dataValidation type="list" allowBlank="1" showInputMessage="1" showErrorMessage="1" errorTitle="Inválido" error="Escolha um item da lista." xr:uid="{5C7E92D7-658A-4296-8C20-A001E3379E83}">
          <x14:formula1>
            <xm:f>'Folha1 (2)'!$J$3:$J$18</xm:f>
          </x14:formula1>
          <xm:sqref>B20:B29</xm:sqref>
        </x14:dataValidation>
        <x14:dataValidation type="list" allowBlank="1" showInputMessage="1" showErrorMessage="1" xr:uid="{353CD8D1-DC8A-4F20-8FEB-1F609F9EC63D}">
          <x14:formula1>
            <xm:f>'Folha1 (2)'!$O$2:$O$46</xm:f>
          </x14:formula1>
          <xm:sqref>G21</xm:sqref>
        </x14:dataValidation>
        <x14:dataValidation type="list" allowBlank="1" showInputMessage="1" showErrorMessage="1" xr:uid="{177A7F6A-845A-4EED-B160-4F99AEEBF7E4}">
          <x14:formula1>
            <xm:f>'Folha1 (2)'!$V$2:$V$46</xm:f>
          </x14:formula1>
          <xm:sqref>G23</xm:sqref>
        </x14:dataValidation>
        <x14:dataValidation type="list" allowBlank="1" showInputMessage="1" showErrorMessage="1" xr:uid="{699E37F9-7679-4EE6-BF52-56465E2FD432}">
          <x14:formula1>
            <xm:f>'Folha1 (2)'!$AC$2:$AC$46</xm:f>
          </x14:formula1>
          <xm:sqref>G25</xm:sqref>
        </x14:dataValidation>
        <x14:dataValidation type="list" allowBlank="1" showInputMessage="1" showErrorMessage="1" xr:uid="{0DB7BA2D-6869-469E-86FF-F80614A23CA4}">
          <x14:formula1>
            <xm:f>'Folha1 (2)'!$AJ$2:$AJ$46</xm:f>
          </x14:formula1>
          <xm:sqref>G27</xm:sqref>
        </x14:dataValidation>
        <x14:dataValidation type="list" allowBlank="1" showInputMessage="1" showErrorMessage="1" xr:uid="{B1020DA4-4B96-4A30-BDD1-0FB7D27F6FF6}">
          <x14:formula1>
            <xm:f>'Folha1 (2)'!$AQ$2:$AQ$46</xm:f>
          </x14:formula1>
          <xm:sqref>G29</xm:sqref>
        </x14:dataValidation>
        <x14:dataValidation type="list" allowBlank="1" showInputMessage="1" showErrorMessage="1" xr:uid="{00000000-0002-0000-0000-000005000000}">
          <x14:formula1>
            <xm:f>'Dados mestre'!$M$11:$M$116</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dimension ref="A1:AC124"/>
  <sheetViews>
    <sheetView showGridLines="0" showRowColHeaders="0" showZeros="0" showOutlineSymbols="0" topLeftCell="A8" zoomScale="90" zoomScaleNormal="90" workbookViewId="0">
      <selection activeCell="F15" sqref="F15:G15"/>
    </sheetView>
  </sheetViews>
  <sheetFormatPr defaultRowHeight="25.5" customHeight="1" x14ac:dyDescent="0.2"/>
  <cols>
    <col min="1" max="1" width="3.7109375" style="49" customWidth="1"/>
    <col min="2" max="2" width="3.5703125" style="49" customWidth="1"/>
    <col min="3" max="3" width="7.85546875" style="49" customWidth="1"/>
    <col min="4" max="5" width="9.140625" style="49"/>
    <col min="6" max="6" width="11.7109375" style="49" customWidth="1"/>
    <col min="7" max="7" width="12.7109375" style="49" customWidth="1"/>
    <col min="8" max="9" width="3.7109375" style="49" customWidth="1"/>
    <col min="10" max="11" width="9.140625" style="49" hidden="1" customWidth="1"/>
    <col min="12" max="12" width="3.7109375" style="49" customWidth="1"/>
    <col min="13" max="13" width="75.28515625" style="118" customWidth="1"/>
    <col min="14" max="14" width="9.140625" style="118" customWidth="1"/>
    <col min="15" max="15" width="10.140625" style="118" customWidth="1"/>
    <col min="16" max="16" width="1" style="49" customWidth="1"/>
    <col min="17" max="17" width="44.42578125" style="49" customWidth="1"/>
    <col min="18" max="18" width="3.7109375" style="49" customWidth="1"/>
    <col min="19" max="19" width="3.85546875" style="49" customWidth="1"/>
    <col min="20" max="20" width="3.7109375" style="49" customWidth="1"/>
    <col min="21" max="21" width="9.140625" style="49" customWidth="1"/>
    <col min="22" max="22" width="22.7109375" style="49" bestFit="1" customWidth="1"/>
    <col min="23" max="23" width="8" style="49" hidden="1" customWidth="1"/>
    <col min="24" max="24" width="9.5703125" style="49" hidden="1" customWidth="1"/>
    <col min="25" max="25" width="3.42578125" style="49" customWidth="1"/>
    <col min="26" max="26" width="4" style="50" customWidth="1"/>
    <col min="27" max="27" width="16" style="49" hidden="1" customWidth="1"/>
    <col min="28" max="28" width="39.28515625" style="49" hidden="1" customWidth="1"/>
    <col min="29" max="29" width="3.140625" style="49" customWidth="1"/>
    <col min="30" max="33" width="9.140625" style="49" customWidth="1"/>
    <col min="34" max="16384" width="9.140625" style="49"/>
  </cols>
  <sheetData>
    <row r="1" spans="1:29" ht="25.5" hidden="1" customHeight="1" x14ac:dyDescent="0.2"/>
    <row r="2" spans="1:29" ht="25.5" hidden="1" customHeight="1" x14ac:dyDescent="0.2"/>
    <row r="3" spans="1:29" ht="25.5" hidden="1" customHeight="1" x14ac:dyDescent="0.2">
      <c r="A3" s="49">
        <v>1</v>
      </c>
      <c r="C3" s="51" t="s">
        <v>27</v>
      </c>
    </row>
    <row r="4" spans="1:29" ht="25.5" hidden="1" customHeight="1" x14ac:dyDescent="0.2">
      <c r="A4" s="49">
        <v>2</v>
      </c>
      <c r="C4" s="51" t="s">
        <v>28</v>
      </c>
    </row>
    <row r="5" spans="1:29" ht="25.5" hidden="1" customHeight="1" x14ac:dyDescent="0.2">
      <c r="A5" s="49">
        <v>3</v>
      </c>
      <c r="C5" s="51" t="s">
        <v>29</v>
      </c>
    </row>
    <row r="6" spans="1:29" ht="25.5" hidden="1" customHeight="1" x14ac:dyDescent="0.2">
      <c r="A6" s="49">
        <v>4</v>
      </c>
      <c r="C6" s="51" t="s">
        <v>26</v>
      </c>
    </row>
    <row r="7" spans="1:29" ht="25.5" hidden="1" customHeight="1" x14ac:dyDescent="0.2">
      <c r="AA7" s="50"/>
      <c r="AB7" s="50"/>
      <c r="AC7" s="50"/>
    </row>
    <row r="8" spans="1:29" ht="25.5" customHeight="1" thickBot="1" x14ac:dyDescent="0.25">
      <c r="C8" s="305" t="s">
        <v>646</v>
      </c>
      <c r="D8" s="305"/>
      <c r="E8" s="305"/>
      <c r="F8" s="305"/>
      <c r="G8" s="305"/>
      <c r="H8" s="305"/>
      <c r="L8" s="52"/>
      <c r="M8" s="119" t="s">
        <v>34</v>
      </c>
      <c r="U8" s="305" t="s">
        <v>791</v>
      </c>
      <c r="V8" s="305"/>
      <c r="W8" s="129"/>
      <c r="X8" s="129"/>
      <c r="Y8" s="129"/>
    </row>
    <row r="9" spans="1:29" ht="25.5" customHeight="1" x14ac:dyDescent="0.2">
      <c r="B9" s="53"/>
      <c r="C9" s="54"/>
      <c r="D9" s="54"/>
      <c r="E9" s="54"/>
      <c r="F9" s="54"/>
      <c r="G9" s="54"/>
      <c r="H9" s="55"/>
      <c r="L9" s="56"/>
      <c r="M9" s="120"/>
      <c r="N9" s="120"/>
      <c r="O9" s="120"/>
      <c r="P9" s="57"/>
      <c r="Q9" s="130" t="e">
        <f>VLOOKUP('Guia Receita'!E7,'Dados mestre'!M12:Q116,5)</f>
        <v>#N/A</v>
      </c>
      <c r="R9" s="58"/>
      <c r="T9" s="80"/>
      <c r="U9" s="81"/>
      <c r="V9" s="81"/>
      <c r="W9" s="81"/>
      <c r="X9" s="81"/>
      <c r="Y9" s="82"/>
      <c r="AB9" s="114" t="b">
        <v>1</v>
      </c>
    </row>
    <row r="10" spans="1:29" ht="25.5" customHeight="1" x14ac:dyDescent="0.2">
      <c r="B10" s="59"/>
      <c r="C10" s="47" t="s">
        <v>15</v>
      </c>
      <c r="D10" s="47"/>
      <c r="E10" s="60"/>
      <c r="F10" s="60"/>
      <c r="G10" s="60"/>
      <c r="H10" s="61"/>
      <c r="L10" s="62"/>
      <c r="M10" s="121" t="s">
        <v>31</v>
      </c>
      <c r="N10" s="121" t="s">
        <v>30</v>
      </c>
      <c r="O10" s="121" t="s">
        <v>47</v>
      </c>
      <c r="P10" s="64"/>
      <c r="Q10" s="63" t="s">
        <v>243</v>
      </c>
      <c r="R10" s="65"/>
      <c r="T10" s="83"/>
      <c r="U10" s="84" t="s">
        <v>185</v>
      </c>
      <c r="V10" s="84" t="s">
        <v>186</v>
      </c>
      <c r="W10" s="85"/>
      <c r="X10" s="85"/>
      <c r="Y10" s="86"/>
    </row>
    <row r="11" spans="1:29" ht="25.5" customHeight="1" thickBot="1" x14ac:dyDescent="0.25">
      <c r="B11" s="66"/>
      <c r="C11" s="319"/>
      <c r="D11" s="319"/>
      <c r="E11" s="319"/>
      <c r="F11" s="319"/>
      <c r="G11" s="319"/>
      <c r="H11" s="68"/>
      <c r="K11" s="69">
        <v>2</v>
      </c>
      <c r="L11" s="62"/>
      <c r="M11" s="116" t="s">
        <v>289</v>
      </c>
      <c r="N11" s="233" t="s">
        <v>77</v>
      </c>
      <c r="O11" s="124">
        <v>71</v>
      </c>
      <c r="P11" s="64" t="str">
        <f>" "</f>
        <v xml:space="preserve"> </v>
      </c>
      <c r="Q11" s="131" t="str">
        <f t="shared" ref="Q11:Q43" si="0">M11</f>
        <v>Assembleia Legislativa Regional</v>
      </c>
      <c r="R11" s="65"/>
      <c r="T11" s="83"/>
      <c r="U11" s="87" t="s">
        <v>187</v>
      </c>
      <c r="V11" s="88" t="s">
        <v>327</v>
      </c>
      <c r="W11" s="89" t="str">
        <f t="shared" ref="W11:W52" si="1">LEFT(V11,4)</f>
        <v>A000</v>
      </c>
      <c r="X11" s="89" t="str">
        <f t="shared" ref="X11:X54" si="2">U11</f>
        <v>A000001</v>
      </c>
      <c r="Y11" s="86"/>
    </row>
    <row r="12" spans="1:29" ht="25.5" customHeight="1" x14ac:dyDescent="0.2">
      <c r="K12" s="49" t="str">
        <f>IF(K11=1," na "," no ")</f>
        <v xml:space="preserve"> no </v>
      </c>
      <c r="L12" s="62"/>
      <c r="M12" s="93" t="s">
        <v>1077</v>
      </c>
      <c r="N12" s="233" t="s">
        <v>1076</v>
      </c>
      <c r="O12" s="124">
        <v>76</v>
      </c>
      <c r="P12" s="64"/>
      <c r="Q12" s="131" t="str">
        <f t="shared" si="0"/>
        <v>Centro de Qualificação dos Açores, I.P.R.A.</v>
      </c>
      <c r="R12" s="65"/>
      <c r="T12" s="83"/>
      <c r="U12" s="87" t="s">
        <v>188</v>
      </c>
      <c r="V12" s="88" t="s">
        <v>189</v>
      </c>
      <c r="W12" s="89" t="str">
        <f t="shared" si="1"/>
        <v>A001</v>
      </c>
      <c r="X12" s="89" t="str">
        <f t="shared" si="2"/>
        <v>A000931</v>
      </c>
      <c r="Y12" s="86"/>
    </row>
    <row r="13" spans="1:29" ht="25.5" customHeight="1" thickBot="1" x14ac:dyDescent="0.25">
      <c r="C13" s="110" t="s">
        <v>33</v>
      </c>
      <c r="K13" s="49" t="str">
        <f>IF(K11=1," da "," do ")</f>
        <v xml:space="preserve"> do </v>
      </c>
      <c r="L13" s="62"/>
      <c r="M13" s="93" t="s">
        <v>759</v>
      </c>
      <c r="N13" s="233" t="s">
        <v>70</v>
      </c>
      <c r="O13" s="124">
        <v>82</v>
      </c>
      <c r="P13" s="64"/>
      <c r="Q13" s="131" t="str">
        <f t="shared" si="0"/>
        <v>Direção Regional Ambiente e Ação Climática</v>
      </c>
      <c r="R13" s="65"/>
      <c r="T13" s="83"/>
      <c r="U13" s="87" t="s">
        <v>190</v>
      </c>
      <c r="V13" s="88" t="s">
        <v>328</v>
      </c>
      <c r="W13" s="89" t="str">
        <f t="shared" si="1"/>
        <v>A002</v>
      </c>
      <c r="X13" s="89" t="str">
        <f t="shared" si="2"/>
        <v>A000932</v>
      </c>
      <c r="Y13" s="86"/>
    </row>
    <row r="14" spans="1:29" ht="25.5" customHeight="1" x14ac:dyDescent="0.2">
      <c r="B14" s="53"/>
      <c r="C14" s="70"/>
      <c r="D14" s="54"/>
      <c r="E14" s="54"/>
      <c r="F14" s="318" t="s">
        <v>283</v>
      </c>
      <c r="G14" s="318"/>
      <c r="H14" s="55"/>
      <c r="L14" s="62"/>
      <c r="M14" s="93" t="s">
        <v>760</v>
      </c>
      <c r="N14" s="233" t="s">
        <v>80</v>
      </c>
      <c r="O14" s="124">
        <v>78</v>
      </c>
      <c r="P14" s="64"/>
      <c r="Q14" s="131" t="str">
        <f t="shared" si="0"/>
        <v>Direção Regional da Agricultura, Veterinária e Alimentação</v>
      </c>
      <c r="R14" s="65"/>
      <c r="T14" s="83"/>
      <c r="U14" s="87" t="s">
        <v>191</v>
      </c>
      <c r="V14" s="88" t="s">
        <v>192</v>
      </c>
      <c r="W14" s="89" t="str">
        <f t="shared" si="1"/>
        <v>A003</v>
      </c>
      <c r="X14" s="89" t="str">
        <f t="shared" si="2"/>
        <v>A000933</v>
      </c>
      <c r="Y14" s="86"/>
    </row>
    <row r="15" spans="1:29" ht="25.5" customHeight="1" x14ac:dyDescent="0.2">
      <c r="A15" s="71"/>
      <c r="B15" s="59"/>
      <c r="C15" s="306" t="s">
        <v>240</v>
      </c>
      <c r="D15" s="306"/>
      <c r="E15" s="307"/>
      <c r="F15" s="313"/>
      <c r="G15" s="314"/>
      <c r="H15" s="72"/>
      <c r="I15" s="71"/>
      <c r="L15" s="62"/>
      <c r="M15" s="93" t="s">
        <v>761</v>
      </c>
      <c r="N15" s="233" t="s">
        <v>79</v>
      </c>
      <c r="O15" s="124">
        <v>73</v>
      </c>
      <c r="P15" s="64"/>
      <c r="Q15" s="131" t="str">
        <f t="shared" si="0"/>
        <v>Direção Regional da Ciência, Inovação e Desenvolvimento</v>
      </c>
      <c r="R15" s="65"/>
      <c r="T15" s="83"/>
      <c r="U15" s="87" t="s">
        <v>193</v>
      </c>
      <c r="V15" s="88" t="s">
        <v>774</v>
      </c>
      <c r="W15" s="89" t="str">
        <f t="shared" si="1"/>
        <v>A004</v>
      </c>
      <c r="X15" s="89" t="str">
        <f t="shared" si="2"/>
        <v>A000934</v>
      </c>
      <c r="Y15" s="86"/>
    </row>
    <row r="16" spans="1:29" ht="25.5" customHeight="1" x14ac:dyDescent="0.2">
      <c r="B16" s="59"/>
      <c r="C16" s="60"/>
      <c r="D16" s="60"/>
      <c r="E16" s="113"/>
      <c r="F16" s="320" t="s">
        <v>284</v>
      </c>
      <c r="G16" s="320"/>
      <c r="H16" s="61"/>
      <c r="L16" s="62"/>
      <c r="M16" s="93" t="s">
        <v>294</v>
      </c>
      <c r="N16" s="233" t="s">
        <v>307</v>
      </c>
      <c r="O16" s="124">
        <v>72</v>
      </c>
      <c r="P16" s="64"/>
      <c r="Q16" s="131" t="str">
        <f t="shared" si="0"/>
        <v>Direção Regional da Cooperação com o Poder Local</v>
      </c>
      <c r="R16" s="65"/>
      <c r="T16" s="83"/>
      <c r="U16" s="87" t="s">
        <v>194</v>
      </c>
      <c r="V16" s="88" t="s">
        <v>775</v>
      </c>
      <c r="W16" s="89" t="str">
        <f t="shared" si="1"/>
        <v>A005</v>
      </c>
      <c r="X16" s="89" t="str">
        <f t="shared" si="2"/>
        <v>A000935</v>
      </c>
      <c r="Y16" s="86"/>
      <c r="AA16" s="50"/>
      <c r="AB16" s="50"/>
      <c r="AC16" s="50"/>
    </row>
    <row r="17" spans="2:29" ht="25.5" customHeight="1" x14ac:dyDescent="0.2">
      <c r="B17" s="59"/>
      <c r="C17" s="306" t="s">
        <v>241</v>
      </c>
      <c r="D17" s="311"/>
      <c r="E17" s="312"/>
      <c r="F17" s="73"/>
      <c r="G17" s="60"/>
      <c r="H17" s="61"/>
      <c r="L17" s="62"/>
      <c r="M17" s="93" t="s">
        <v>762</v>
      </c>
      <c r="N17" s="233" t="s">
        <v>74</v>
      </c>
      <c r="O17" s="124">
        <v>76</v>
      </c>
      <c r="P17" s="64"/>
      <c r="Q17" s="131" t="str">
        <f t="shared" si="0"/>
        <v>Direção Regional da Cultura</v>
      </c>
      <c r="R17" s="65"/>
      <c r="T17" s="83"/>
      <c r="U17" s="87" t="s">
        <v>195</v>
      </c>
      <c r="V17" s="87" t="s">
        <v>776</v>
      </c>
      <c r="W17" s="89" t="str">
        <f t="shared" si="1"/>
        <v>A006</v>
      </c>
      <c r="X17" s="89" t="str">
        <f t="shared" si="2"/>
        <v>A000936</v>
      </c>
      <c r="Y17" s="86"/>
      <c r="AA17" s="50"/>
      <c r="AB17" s="50"/>
      <c r="AC17" s="50"/>
    </row>
    <row r="18" spans="2:29" ht="25.5" customHeight="1" thickBot="1" x14ac:dyDescent="0.25">
      <c r="B18" s="66"/>
      <c r="C18" s="67"/>
      <c r="D18" s="67"/>
      <c r="E18" s="67"/>
      <c r="F18" s="67"/>
      <c r="G18" s="67"/>
      <c r="H18" s="68"/>
      <c r="L18" s="62"/>
      <c r="M18" s="122" t="s">
        <v>353</v>
      </c>
      <c r="N18" s="233" t="s">
        <v>309</v>
      </c>
      <c r="O18" s="124">
        <v>76</v>
      </c>
      <c r="P18" s="64"/>
      <c r="Q18" s="131" t="str">
        <f t="shared" si="0"/>
        <v>Direção Regional da Educação e Administração Educativa</v>
      </c>
      <c r="R18" s="65"/>
      <c r="T18" s="83"/>
      <c r="U18" s="87" t="s">
        <v>196</v>
      </c>
      <c r="V18" s="87" t="s">
        <v>197</v>
      </c>
      <c r="W18" s="89" t="str">
        <f t="shared" si="1"/>
        <v>A007</v>
      </c>
      <c r="X18" s="89" t="str">
        <f t="shared" si="2"/>
        <v>A000937</v>
      </c>
      <c r="Y18" s="86"/>
      <c r="AA18" s="50"/>
      <c r="AB18" s="50"/>
      <c r="AC18" s="50"/>
    </row>
    <row r="19" spans="2:29" ht="25.5" customHeight="1" x14ac:dyDescent="0.2">
      <c r="L19" s="62"/>
      <c r="M19" s="93" t="s">
        <v>132</v>
      </c>
      <c r="N19" s="233" t="s">
        <v>62</v>
      </c>
      <c r="O19" s="124">
        <v>80</v>
      </c>
      <c r="P19" s="64"/>
      <c r="Q19" s="131" t="str">
        <f t="shared" si="0"/>
        <v>Direção Regional da Energia</v>
      </c>
      <c r="R19" s="65"/>
      <c r="T19" s="83"/>
      <c r="U19" s="87" t="s">
        <v>198</v>
      </c>
      <c r="V19" s="87" t="s">
        <v>315</v>
      </c>
      <c r="W19" s="89" t="str">
        <f t="shared" si="1"/>
        <v>A010</v>
      </c>
      <c r="X19" s="89" t="str">
        <f t="shared" si="2"/>
        <v>A000938</v>
      </c>
      <c r="Y19" s="86"/>
      <c r="AA19" s="50"/>
      <c r="AB19" s="50"/>
      <c r="AC19" s="50"/>
    </row>
    <row r="20" spans="2:29" ht="25.5" customHeight="1" thickBot="1" x14ac:dyDescent="0.25">
      <c r="C20" s="305" t="s">
        <v>46</v>
      </c>
      <c r="D20" s="305"/>
      <c r="E20" s="305"/>
      <c r="F20" s="305"/>
      <c r="G20" s="305"/>
      <c r="H20" s="305"/>
      <c r="L20" s="62"/>
      <c r="M20" s="93" t="s">
        <v>292</v>
      </c>
      <c r="N20" s="233" t="s">
        <v>60</v>
      </c>
      <c r="O20" s="124">
        <v>81</v>
      </c>
      <c r="P20" s="64"/>
      <c r="Q20" s="131" t="str">
        <f t="shared" si="0"/>
        <v>Direção Regional da Habitação</v>
      </c>
      <c r="R20" s="65"/>
      <c r="T20" s="83"/>
      <c r="U20" s="87" t="s">
        <v>199</v>
      </c>
      <c r="V20" s="87" t="s">
        <v>777</v>
      </c>
      <c r="W20" s="89" t="str">
        <f t="shared" si="1"/>
        <v>A011</v>
      </c>
      <c r="X20" s="89" t="str">
        <f t="shared" si="2"/>
        <v>A000939</v>
      </c>
      <c r="Y20" s="86"/>
      <c r="AA20" s="50"/>
      <c r="AB20" s="50"/>
      <c r="AC20" s="50"/>
    </row>
    <row r="21" spans="2:29" ht="25.5" customHeight="1" x14ac:dyDescent="0.2">
      <c r="B21" s="74"/>
      <c r="C21" s="75"/>
      <c r="D21" s="75"/>
      <c r="E21" s="75"/>
      <c r="F21" s="75"/>
      <c r="G21" s="75"/>
      <c r="H21" s="76"/>
      <c r="L21" s="62"/>
      <c r="M21" s="93" t="s">
        <v>143</v>
      </c>
      <c r="N21" s="233" t="s">
        <v>75</v>
      </c>
      <c r="O21" s="124">
        <v>81</v>
      </c>
      <c r="P21" s="64"/>
      <c r="Q21" s="131" t="str">
        <f t="shared" si="0"/>
        <v>Direção Regional da Juventude</v>
      </c>
      <c r="R21" s="65"/>
      <c r="T21" s="83"/>
      <c r="U21" s="87" t="s">
        <v>200</v>
      </c>
      <c r="V21" s="87" t="s">
        <v>316</v>
      </c>
      <c r="W21" s="89" t="str">
        <f t="shared" si="1"/>
        <v>A012</v>
      </c>
      <c r="X21" s="89" t="str">
        <f t="shared" si="2"/>
        <v>A000940</v>
      </c>
      <c r="Y21" s="86"/>
      <c r="AA21" s="50"/>
      <c r="AB21" s="50"/>
      <c r="AC21" s="50"/>
    </row>
    <row r="22" spans="2:29" ht="25.5" customHeight="1" x14ac:dyDescent="0.2">
      <c r="B22" s="77"/>
      <c r="C22" s="78" t="s">
        <v>35</v>
      </c>
      <c r="D22" s="315" t="s">
        <v>32</v>
      </c>
      <c r="E22" s="316"/>
      <c r="F22" s="316"/>
      <c r="G22" s="317"/>
      <c r="H22" s="79"/>
      <c r="L22" s="62"/>
      <c r="M22" s="93" t="s">
        <v>347</v>
      </c>
      <c r="N22" s="233" t="s">
        <v>61</v>
      </c>
      <c r="O22" s="124">
        <v>80</v>
      </c>
      <c r="P22" s="64"/>
      <c r="Q22" s="131" t="str">
        <f t="shared" si="0"/>
        <v>Direção Regional da Mobilidade</v>
      </c>
      <c r="R22" s="65"/>
      <c r="T22" s="83"/>
      <c r="U22" s="87" t="s">
        <v>201</v>
      </c>
      <c r="V22" s="87" t="s">
        <v>317</v>
      </c>
      <c r="W22" s="89" t="str">
        <f t="shared" si="1"/>
        <v>A014</v>
      </c>
      <c r="X22" s="89" t="str">
        <f t="shared" si="2"/>
        <v>A000941</v>
      </c>
      <c r="Y22" s="86"/>
      <c r="AA22" s="50"/>
      <c r="AB22" s="50"/>
      <c r="AC22" s="50"/>
    </row>
    <row r="23" spans="2:29" ht="25.5" customHeight="1" x14ac:dyDescent="0.2">
      <c r="B23" s="77"/>
      <c r="C23" s="48" t="str">
        <f>" "</f>
        <v xml:space="preserve"> </v>
      </c>
      <c r="D23" s="308" t="str">
        <f>" "</f>
        <v xml:space="preserve"> </v>
      </c>
      <c r="E23" s="309"/>
      <c r="F23" s="309"/>
      <c r="G23" s="310"/>
      <c r="H23" s="79"/>
      <c r="L23" s="62"/>
      <c r="M23" s="122" t="s">
        <v>297</v>
      </c>
      <c r="N23" s="233" t="s">
        <v>82</v>
      </c>
      <c r="O23" s="124">
        <v>77</v>
      </c>
      <c r="P23" s="64"/>
      <c r="Q23" s="131" t="str">
        <f t="shared" si="0"/>
        <v>Direção Regional da Prevenção e Combate às Dependências</v>
      </c>
      <c r="R23" s="65"/>
      <c r="T23" s="83"/>
      <c r="U23" s="87" t="s">
        <v>202</v>
      </c>
      <c r="V23" s="87" t="s">
        <v>203</v>
      </c>
      <c r="W23" s="89" t="str">
        <f t="shared" si="1"/>
        <v>A015</v>
      </c>
      <c r="X23" s="89" t="str">
        <f t="shared" si="2"/>
        <v>A000942</v>
      </c>
      <c r="Y23" s="86"/>
      <c r="AA23" s="50"/>
      <c r="AB23" s="50"/>
      <c r="AC23" s="50"/>
    </row>
    <row r="24" spans="2:29" ht="25.5" customHeight="1" x14ac:dyDescent="0.2">
      <c r="B24" s="77"/>
      <c r="C24" s="48">
        <v>71</v>
      </c>
      <c r="D24" s="308" t="s">
        <v>749</v>
      </c>
      <c r="E24" s="309"/>
      <c r="F24" s="309"/>
      <c r="G24" s="310"/>
      <c r="H24" s="79"/>
      <c r="L24" s="62"/>
      <c r="M24" s="93" t="s">
        <v>302</v>
      </c>
      <c r="N24" s="233" t="s">
        <v>57</v>
      </c>
      <c r="O24" s="124">
        <v>81</v>
      </c>
      <c r="P24" s="64"/>
      <c r="Q24" s="131" t="str">
        <f t="shared" si="0"/>
        <v>Direção Regional da Qualificação Profissional e Emprego</v>
      </c>
      <c r="R24" s="65"/>
      <c r="T24" s="83"/>
      <c r="U24" s="87" t="s">
        <v>204</v>
      </c>
      <c r="V24" s="87" t="s">
        <v>205</v>
      </c>
      <c r="W24" s="89" t="str">
        <f t="shared" si="1"/>
        <v>A016</v>
      </c>
      <c r="X24" s="89" t="str">
        <f t="shared" si="2"/>
        <v>A000943</v>
      </c>
      <c r="Y24" s="86"/>
      <c r="AA24" s="50"/>
      <c r="AB24" s="50"/>
      <c r="AC24" s="50"/>
    </row>
    <row r="25" spans="2:29" ht="25.5" customHeight="1" x14ac:dyDescent="0.2">
      <c r="B25" s="77"/>
      <c r="C25" s="48">
        <v>72</v>
      </c>
      <c r="D25" s="308" t="s">
        <v>750</v>
      </c>
      <c r="E25" s="309"/>
      <c r="F25" s="309"/>
      <c r="G25" s="310"/>
      <c r="H25" s="79"/>
      <c r="L25" s="62"/>
      <c r="M25" s="122" t="s">
        <v>134</v>
      </c>
      <c r="N25" s="233" t="s">
        <v>54</v>
      </c>
      <c r="O25" s="124">
        <v>77</v>
      </c>
      <c r="P25" s="64"/>
      <c r="Q25" s="131" t="str">
        <f t="shared" si="0"/>
        <v>Direção Regional da Saúde</v>
      </c>
      <c r="R25" s="65"/>
      <c r="T25" s="83"/>
      <c r="U25" s="87" t="s">
        <v>206</v>
      </c>
      <c r="V25" s="87" t="s">
        <v>778</v>
      </c>
      <c r="W25" s="89" t="str">
        <f t="shared" si="1"/>
        <v>A017</v>
      </c>
      <c r="X25" s="89" t="str">
        <f t="shared" si="2"/>
        <v>A000944</v>
      </c>
      <c r="Y25" s="86"/>
      <c r="AA25" s="50"/>
      <c r="AB25" s="50"/>
      <c r="AC25" s="50"/>
    </row>
    <row r="26" spans="2:29" ht="25.5" customHeight="1" x14ac:dyDescent="0.2">
      <c r="B26" s="77"/>
      <c r="C26" s="48">
        <v>73</v>
      </c>
      <c r="D26" s="308" t="s">
        <v>751</v>
      </c>
      <c r="E26" s="309"/>
      <c r="F26" s="309"/>
      <c r="G26" s="310"/>
      <c r="H26" s="79"/>
      <c r="L26" s="62"/>
      <c r="M26" s="93" t="s">
        <v>138</v>
      </c>
      <c r="N26" s="233" t="s">
        <v>59</v>
      </c>
      <c r="O26" s="124">
        <v>77</v>
      </c>
      <c r="P26" s="64"/>
      <c r="Q26" s="131" t="str">
        <f t="shared" si="0"/>
        <v>Direção Regional da Solidariedade Social</v>
      </c>
      <c r="R26" s="65"/>
      <c r="T26" s="83"/>
      <c r="U26" s="87" t="s">
        <v>207</v>
      </c>
      <c r="V26" s="87" t="s">
        <v>208</v>
      </c>
      <c r="W26" s="89" t="str">
        <f t="shared" si="1"/>
        <v>A018</v>
      </c>
      <c r="X26" s="89" t="str">
        <f t="shared" si="2"/>
        <v>A000945</v>
      </c>
      <c r="Y26" s="86"/>
      <c r="AA26" s="50"/>
      <c r="AB26" s="50"/>
      <c r="AC26" s="50"/>
    </row>
    <row r="27" spans="2:29" ht="25.5" customHeight="1" x14ac:dyDescent="0.2">
      <c r="B27" s="77"/>
      <c r="C27" s="48">
        <v>74</v>
      </c>
      <c r="D27" s="308" t="s">
        <v>1090</v>
      </c>
      <c r="E27" s="309"/>
      <c r="F27" s="309"/>
      <c r="G27" s="310"/>
      <c r="H27" s="79"/>
      <c r="L27" s="62"/>
      <c r="M27" s="93" t="s">
        <v>342</v>
      </c>
      <c r="N27" s="233" t="s">
        <v>312</v>
      </c>
      <c r="O27" s="124">
        <v>73</v>
      </c>
      <c r="P27" s="64"/>
      <c r="Q27" s="131" t="str">
        <f t="shared" si="0"/>
        <v>Direção Regional das Comunicações e Transição Digital</v>
      </c>
      <c r="R27" s="65"/>
      <c r="T27" s="83"/>
      <c r="U27" s="87" t="s">
        <v>209</v>
      </c>
      <c r="V27" s="87" t="s">
        <v>210</v>
      </c>
      <c r="W27" s="89" t="str">
        <f t="shared" si="1"/>
        <v>A019</v>
      </c>
      <c r="X27" s="89" t="str">
        <f t="shared" si="2"/>
        <v>A000946</v>
      </c>
      <c r="Y27" s="86"/>
    </row>
    <row r="28" spans="2:29" ht="25.5" customHeight="1" x14ac:dyDescent="0.2">
      <c r="B28" s="77"/>
      <c r="C28" s="48">
        <v>75</v>
      </c>
      <c r="D28" s="308" t="s">
        <v>1089</v>
      </c>
      <c r="E28" s="309"/>
      <c r="F28" s="309"/>
      <c r="G28" s="310"/>
      <c r="H28" s="79"/>
      <c r="L28" s="62"/>
      <c r="M28" s="93" t="s">
        <v>142</v>
      </c>
      <c r="N28" s="233" t="s">
        <v>66</v>
      </c>
      <c r="O28" s="124">
        <v>75</v>
      </c>
      <c r="P28" s="64"/>
      <c r="Q28" s="131" t="str">
        <f t="shared" si="0"/>
        <v>Direção Regional das Comunidades</v>
      </c>
      <c r="R28" s="65"/>
      <c r="T28" s="83"/>
      <c r="U28" s="87" t="s">
        <v>211</v>
      </c>
      <c r="V28" s="87" t="s">
        <v>779</v>
      </c>
      <c r="W28" s="89" t="str">
        <f t="shared" si="1"/>
        <v>A020</v>
      </c>
      <c r="X28" s="89" t="str">
        <f t="shared" si="2"/>
        <v>A000947</v>
      </c>
      <c r="Y28" s="86"/>
      <c r="AA28" s="52"/>
    </row>
    <row r="29" spans="2:29" ht="25.5" customHeight="1" x14ac:dyDescent="0.2">
      <c r="B29" s="77"/>
      <c r="C29" s="48">
        <v>76</v>
      </c>
      <c r="D29" s="308" t="s">
        <v>752</v>
      </c>
      <c r="E29" s="309"/>
      <c r="F29" s="309"/>
      <c r="G29" s="310"/>
      <c r="H29" s="79"/>
      <c r="L29" s="62"/>
      <c r="M29" s="93" t="s">
        <v>136</v>
      </c>
      <c r="N29" s="233" t="s">
        <v>69</v>
      </c>
      <c r="O29" s="124">
        <v>79</v>
      </c>
      <c r="P29" s="64"/>
      <c r="Q29" s="131" t="str">
        <f t="shared" si="0"/>
        <v>Direção Regional das Pescas</v>
      </c>
      <c r="R29" s="65"/>
      <c r="T29" s="83"/>
      <c r="U29" s="87" t="s">
        <v>212</v>
      </c>
      <c r="V29" s="87" t="s">
        <v>213</v>
      </c>
      <c r="W29" s="89" t="str">
        <f t="shared" si="1"/>
        <v>A021</v>
      </c>
      <c r="X29" s="89" t="str">
        <f t="shared" si="2"/>
        <v>A000948</v>
      </c>
      <c r="Y29" s="86"/>
    </row>
    <row r="30" spans="2:29" ht="25.5" customHeight="1" x14ac:dyDescent="0.2">
      <c r="B30" s="77"/>
      <c r="C30" s="48">
        <v>77</v>
      </c>
      <c r="D30" s="308" t="s">
        <v>753</v>
      </c>
      <c r="E30" s="309"/>
      <c r="F30" s="309"/>
      <c r="G30" s="310"/>
      <c r="H30" s="79"/>
      <c r="L30" s="62"/>
      <c r="M30" s="93" t="s">
        <v>344</v>
      </c>
      <c r="N30" s="233" t="s">
        <v>52</v>
      </c>
      <c r="O30" s="124">
        <v>80</v>
      </c>
      <c r="P30" s="64"/>
      <c r="Q30" s="131" t="str">
        <f t="shared" si="0"/>
        <v>Direção Regional de Obras Públicas</v>
      </c>
      <c r="R30" s="65"/>
      <c r="T30" s="83"/>
      <c r="U30" s="87" t="s">
        <v>214</v>
      </c>
      <c r="V30" s="87" t="s">
        <v>215</v>
      </c>
      <c r="W30" s="89" t="str">
        <f t="shared" si="1"/>
        <v>A023</v>
      </c>
      <c r="X30" s="89" t="str">
        <f t="shared" si="2"/>
        <v>A000949</v>
      </c>
      <c r="Y30" s="86"/>
    </row>
    <row r="31" spans="2:29" ht="25.5" customHeight="1" x14ac:dyDescent="0.2">
      <c r="B31" s="77"/>
      <c r="C31" s="48">
        <v>78</v>
      </c>
      <c r="D31" s="308" t="s">
        <v>754</v>
      </c>
      <c r="E31" s="309"/>
      <c r="F31" s="309"/>
      <c r="G31" s="310"/>
      <c r="H31" s="79"/>
      <c r="L31" s="62"/>
      <c r="M31" s="122" t="s">
        <v>345</v>
      </c>
      <c r="N31" s="233" t="s">
        <v>56</v>
      </c>
      <c r="O31" s="124">
        <v>74</v>
      </c>
      <c r="P31" s="64"/>
      <c r="Q31" s="131" t="str">
        <f t="shared" si="0"/>
        <v>Direção Regional de Organização, Planeamento e Emprego Público</v>
      </c>
      <c r="R31" s="65"/>
      <c r="T31" s="83"/>
      <c r="U31" s="87" t="s">
        <v>216</v>
      </c>
      <c r="V31" s="87" t="s">
        <v>780</v>
      </c>
      <c r="W31" s="89" t="str">
        <f t="shared" si="1"/>
        <v>A024</v>
      </c>
      <c r="X31" s="89" t="str">
        <f t="shared" si="2"/>
        <v>A000950</v>
      </c>
      <c r="Y31" s="86"/>
    </row>
    <row r="32" spans="2:29" ht="25.5" customHeight="1" x14ac:dyDescent="0.2">
      <c r="B32" s="77"/>
      <c r="C32" s="48">
        <v>79</v>
      </c>
      <c r="D32" s="308" t="s">
        <v>755</v>
      </c>
      <c r="E32" s="309"/>
      <c r="F32" s="309"/>
      <c r="G32" s="310"/>
      <c r="H32" s="79"/>
      <c r="L32" s="62"/>
      <c r="M32" s="93" t="s">
        <v>346</v>
      </c>
      <c r="N32" s="233" t="s">
        <v>71</v>
      </c>
      <c r="O32" s="124">
        <v>79</v>
      </c>
      <c r="P32" s="64"/>
      <c r="Q32" s="131" t="str">
        <f t="shared" si="0"/>
        <v>Direção Regional de Políticas Maritimas</v>
      </c>
      <c r="R32" s="65"/>
      <c r="T32" s="83"/>
      <c r="U32" s="87" t="s">
        <v>217</v>
      </c>
      <c r="V32" s="87" t="s">
        <v>318</v>
      </c>
      <c r="W32" s="89" t="str">
        <f t="shared" si="1"/>
        <v>A025</v>
      </c>
      <c r="X32" s="89" t="str">
        <f t="shared" si="2"/>
        <v>A000951</v>
      </c>
      <c r="Y32" s="86"/>
      <c r="AA32" s="51"/>
    </row>
    <row r="33" spans="2:25" ht="25.5" customHeight="1" x14ac:dyDescent="0.2">
      <c r="B33" s="77"/>
      <c r="C33" s="48">
        <v>80</v>
      </c>
      <c r="D33" s="308" t="s">
        <v>756</v>
      </c>
      <c r="E33" s="309"/>
      <c r="F33" s="309"/>
      <c r="G33" s="310"/>
      <c r="H33" s="79"/>
      <c r="L33" s="62"/>
      <c r="M33" s="93" t="s">
        <v>131</v>
      </c>
      <c r="N33" s="233" t="s">
        <v>68</v>
      </c>
      <c r="O33" s="124">
        <v>78</v>
      </c>
      <c r="P33" s="64"/>
      <c r="Q33" s="131" t="str">
        <f t="shared" si="0"/>
        <v>Direção Regional do Desenvolvimento Rural</v>
      </c>
      <c r="R33" s="65"/>
      <c r="T33" s="83"/>
      <c r="U33" s="87" t="s">
        <v>218</v>
      </c>
      <c r="V33" s="87" t="s">
        <v>219</v>
      </c>
      <c r="W33" s="89" t="str">
        <f t="shared" si="1"/>
        <v>A026</v>
      </c>
      <c r="X33" s="89" t="str">
        <f t="shared" si="2"/>
        <v>A000952</v>
      </c>
      <c r="Y33" s="86"/>
    </row>
    <row r="34" spans="2:25" ht="25.5" customHeight="1" x14ac:dyDescent="0.2">
      <c r="B34" s="77"/>
      <c r="C34" s="48">
        <v>81</v>
      </c>
      <c r="D34" s="308" t="s">
        <v>757</v>
      </c>
      <c r="E34" s="309"/>
      <c r="F34" s="309"/>
      <c r="G34" s="310"/>
      <c r="H34" s="79"/>
      <c r="L34" s="62"/>
      <c r="M34" s="122" t="s">
        <v>137</v>
      </c>
      <c r="N34" s="233" t="s">
        <v>76</v>
      </c>
      <c r="O34" s="124">
        <v>76</v>
      </c>
      <c r="P34" s="64"/>
      <c r="Q34" s="131" t="str">
        <f t="shared" si="0"/>
        <v>Direção Regional do Desporto</v>
      </c>
      <c r="R34" s="65"/>
      <c r="T34" s="83"/>
      <c r="U34" s="87" t="s">
        <v>220</v>
      </c>
      <c r="V34" s="87" t="s">
        <v>319</v>
      </c>
      <c r="W34" s="89" t="str">
        <f t="shared" si="1"/>
        <v>A027</v>
      </c>
      <c r="X34" s="89" t="str">
        <f t="shared" si="2"/>
        <v>A000953</v>
      </c>
      <c r="Y34" s="86"/>
    </row>
    <row r="35" spans="2:25" ht="25.5" customHeight="1" x14ac:dyDescent="0.2">
      <c r="B35" s="77"/>
      <c r="C35" s="48">
        <v>82</v>
      </c>
      <c r="D35" s="308" t="s">
        <v>758</v>
      </c>
      <c r="E35" s="309"/>
      <c r="F35" s="309"/>
      <c r="G35" s="310"/>
      <c r="H35" s="79"/>
      <c r="L35" s="62"/>
      <c r="M35" s="122" t="s">
        <v>343</v>
      </c>
      <c r="N35" s="233" t="s">
        <v>64</v>
      </c>
      <c r="O35" s="124">
        <v>74</v>
      </c>
      <c r="P35" s="64"/>
      <c r="Q35" s="131" t="str">
        <f t="shared" si="0"/>
        <v>Direção Regional do Empreendedorismo e Competitividade</v>
      </c>
      <c r="R35" s="65"/>
      <c r="T35" s="83"/>
      <c r="U35" s="87" t="s">
        <v>221</v>
      </c>
      <c r="V35" s="87" t="s">
        <v>781</v>
      </c>
      <c r="W35" s="89" t="str">
        <f t="shared" si="1"/>
        <v>A028</v>
      </c>
      <c r="X35" s="89" t="str">
        <f t="shared" si="2"/>
        <v>A000954</v>
      </c>
      <c r="Y35" s="86"/>
    </row>
    <row r="36" spans="2:25" ht="25.5" customHeight="1" x14ac:dyDescent="0.2">
      <c r="B36" s="77"/>
      <c r="C36" s="48"/>
      <c r="D36" s="308"/>
      <c r="E36" s="309"/>
      <c r="F36" s="309"/>
      <c r="G36" s="310"/>
      <c r="H36" s="79"/>
      <c r="L36" s="62"/>
      <c r="M36" s="93" t="s">
        <v>139</v>
      </c>
      <c r="N36" s="233" t="s">
        <v>48</v>
      </c>
      <c r="O36" s="124">
        <v>74</v>
      </c>
      <c r="P36" s="64"/>
      <c r="Q36" s="131" t="str">
        <f t="shared" si="0"/>
        <v>Direção Regional do Orçamento e Tesouro</v>
      </c>
      <c r="R36" s="65"/>
      <c r="T36" s="83"/>
      <c r="U36" s="87" t="s">
        <v>222</v>
      </c>
      <c r="V36" s="87" t="s">
        <v>782</v>
      </c>
      <c r="W36" s="89" t="str">
        <f t="shared" si="1"/>
        <v>A029</v>
      </c>
      <c r="X36" s="89" t="str">
        <f t="shared" si="2"/>
        <v>A000955</v>
      </c>
      <c r="Y36" s="86"/>
    </row>
    <row r="37" spans="2:25" ht="25.5" customHeight="1" thickBot="1" x14ac:dyDescent="0.25">
      <c r="B37" s="90"/>
      <c r="C37" s="91"/>
      <c r="D37" s="91"/>
      <c r="E37" s="91"/>
      <c r="F37" s="91"/>
      <c r="G37" s="91"/>
      <c r="H37" s="92"/>
      <c r="L37" s="62"/>
      <c r="M37" s="93" t="s">
        <v>140</v>
      </c>
      <c r="N37" s="233" t="s">
        <v>49</v>
      </c>
      <c r="O37" s="124">
        <v>74</v>
      </c>
      <c r="P37" s="64"/>
      <c r="Q37" s="131" t="str">
        <f t="shared" si="0"/>
        <v>Direção Regional do Planeamento e Fundos Estruturais</v>
      </c>
      <c r="R37" s="65"/>
      <c r="T37" s="83"/>
      <c r="U37" s="87" t="s">
        <v>223</v>
      </c>
      <c r="V37" s="87" t="s">
        <v>783</v>
      </c>
      <c r="W37" s="89" t="str">
        <f t="shared" si="1"/>
        <v>A030</v>
      </c>
      <c r="X37" s="89" t="str">
        <f t="shared" si="2"/>
        <v>A000956</v>
      </c>
      <c r="Y37" s="86"/>
    </row>
    <row r="38" spans="2:25" ht="25.5" customHeight="1" x14ac:dyDescent="0.2">
      <c r="L38" s="62"/>
      <c r="M38" s="93" t="s">
        <v>133</v>
      </c>
      <c r="N38" s="233" t="s">
        <v>63</v>
      </c>
      <c r="O38" s="124">
        <v>80</v>
      </c>
      <c r="P38" s="64"/>
      <c r="Q38" s="131" t="str">
        <f t="shared" si="0"/>
        <v>Direção Regional do Turismo</v>
      </c>
      <c r="R38" s="65"/>
      <c r="T38" s="83"/>
      <c r="U38" s="87" t="s">
        <v>224</v>
      </c>
      <c r="V38" s="87" t="s">
        <v>225</v>
      </c>
      <c r="W38" s="89" t="str">
        <f t="shared" si="1"/>
        <v>A031</v>
      </c>
      <c r="X38" s="89" t="str">
        <f t="shared" si="2"/>
        <v>A000957</v>
      </c>
      <c r="Y38" s="86"/>
    </row>
    <row r="39" spans="2:25" ht="25.5" customHeight="1" thickBot="1" x14ac:dyDescent="0.25">
      <c r="C39" s="322" t="s">
        <v>184</v>
      </c>
      <c r="D39" s="322"/>
      <c r="E39" s="322"/>
      <c r="F39" s="322"/>
      <c r="G39" s="322"/>
      <c r="H39" s="322"/>
      <c r="L39" s="62"/>
      <c r="M39" s="116" t="s">
        <v>1080</v>
      </c>
      <c r="N39" s="233" t="s">
        <v>58</v>
      </c>
      <c r="O39" s="124">
        <v>73</v>
      </c>
      <c r="P39" s="64"/>
      <c r="Q39" s="131" t="str">
        <f t="shared" si="0"/>
        <v>Direção Regional dos Assuntos Europeus e Cooperação Externa</v>
      </c>
      <c r="R39" s="65"/>
      <c r="T39" s="83"/>
      <c r="U39" s="87" t="s">
        <v>226</v>
      </c>
      <c r="V39" s="87" t="s">
        <v>227</v>
      </c>
      <c r="W39" s="89" t="str">
        <f t="shared" si="1"/>
        <v>A033</v>
      </c>
      <c r="X39" s="89" t="str">
        <f t="shared" si="2"/>
        <v>A000959</v>
      </c>
      <c r="Y39" s="86"/>
    </row>
    <row r="40" spans="2:25" ht="25.5" customHeight="1" x14ac:dyDescent="0.2">
      <c r="B40" s="97"/>
      <c r="C40" s="98"/>
      <c r="D40" s="98"/>
      <c r="E40" s="98"/>
      <c r="F40" s="98"/>
      <c r="G40" s="98"/>
      <c r="H40" s="99"/>
      <c r="L40" s="62"/>
      <c r="M40" s="93" t="s">
        <v>763</v>
      </c>
      <c r="N40" s="233" t="s">
        <v>72</v>
      </c>
      <c r="O40" s="124">
        <v>78</v>
      </c>
      <c r="P40" s="64"/>
      <c r="Q40" s="131" t="str">
        <f t="shared" si="0"/>
        <v>Direção Regional dos Recursos Florestais e Ordenamento Territorial</v>
      </c>
      <c r="R40" s="65"/>
      <c r="T40" s="83"/>
      <c r="U40" s="87" t="s">
        <v>228</v>
      </c>
      <c r="V40" s="87" t="s">
        <v>229</v>
      </c>
      <c r="W40" s="89" t="str">
        <f t="shared" si="1"/>
        <v>A034</v>
      </c>
      <c r="X40" s="89" t="str">
        <f t="shared" si="2"/>
        <v>A000960</v>
      </c>
      <c r="Y40" s="86"/>
    </row>
    <row r="41" spans="2:25" ht="25.5" customHeight="1" x14ac:dyDescent="0.2">
      <c r="B41" s="100"/>
      <c r="C41" s="108" t="s">
        <v>35</v>
      </c>
      <c r="D41" s="323" t="s">
        <v>183</v>
      </c>
      <c r="E41" s="323"/>
      <c r="F41" s="323"/>
      <c r="G41" s="323"/>
      <c r="H41" s="101"/>
      <c r="L41" s="62"/>
      <c r="M41" s="93" t="s">
        <v>293</v>
      </c>
      <c r="N41" s="233" t="s">
        <v>306</v>
      </c>
      <c r="O41" s="124">
        <v>77</v>
      </c>
      <c r="P41" s="64"/>
      <c r="Q41" s="131" t="str">
        <f t="shared" si="0"/>
        <v>Direção Regional para a Promoção da Igualdade e Inclusão Social</v>
      </c>
      <c r="R41" s="65"/>
      <c r="T41" s="83"/>
      <c r="U41" s="87" t="s">
        <v>230</v>
      </c>
      <c r="V41" s="87" t="s">
        <v>320</v>
      </c>
      <c r="W41" s="89" t="str">
        <f t="shared" si="1"/>
        <v>A037</v>
      </c>
      <c r="X41" s="89" t="str">
        <f t="shared" si="2"/>
        <v>A000961</v>
      </c>
      <c r="Y41" s="86"/>
    </row>
    <row r="42" spans="2:25" ht="25.5" customHeight="1" x14ac:dyDescent="0.2">
      <c r="B42" s="100"/>
      <c r="C42" s="109">
        <v>1</v>
      </c>
      <c r="D42" s="321" t="s">
        <v>130</v>
      </c>
      <c r="E42" s="321"/>
      <c r="F42" s="321"/>
      <c r="G42" s="321"/>
      <c r="H42" s="101"/>
      <c r="L42" s="62"/>
      <c r="M42" s="93" t="s">
        <v>301</v>
      </c>
      <c r="N42" s="233" t="s">
        <v>86</v>
      </c>
      <c r="O42" s="124">
        <v>82</v>
      </c>
      <c r="P42" s="64"/>
      <c r="Q42" s="131" t="str">
        <f t="shared" si="0"/>
        <v>ERSARA</v>
      </c>
      <c r="R42" s="65"/>
      <c r="T42" s="83"/>
      <c r="U42" s="87" t="s">
        <v>231</v>
      </c>
      <c r="V42" s="87" t="s">
        <v>784</v>
      </c>
      <c r="W42" s="89" t="str">
        <f t="shared" si="1"/>
        <v>A038</v>
      </c>
      <c r="X42" s="89" t="str">
        <f t="shared" si="2"/>
        <v>A000962</v>
      </c>
      <c r="Y42" s="86"/>
    </row>
    <row r="43" spans="2:25" ht="25.5" customHeight="1" x14ac:dyDescent="0.2">
      <c r="B43" s="100"/>
      <c r="C43" s="109">
        <v>2</v>
      </c>
      <c r="D43" s="321" t="s">
        <v>612</v>
      </c>
      <c r="E43" s="321"/>
      <c r="F43" s="321"/>
      <c r="G43" s="321"/>
      <c r="H43" s="101"/>
      <c r="L43" s="62"/>
      <c r="M43" s="93" t="s">
        <v>300</v>
      </c>
      <c r="N43" s="233" t="s">
        <v>85</v>
      </c>
      <c r="O43" s="124">
        <v>79</v>
      </c>
      <c r="P43" s="64"/>
      <c r="Q43" s="131" t="str">
        <f t="shared" si="0"/>
        <v>Fundo de Pesca</v>
      </c>
      <c r="R43" s="65"/>
      <c r="T43" s="83"/>
      <c r="U43" s="87" t="s">
        <v>232</v>
      </c>
      <c r="V43" s="87" t="s">
        <v>785</v>
      </c>
      <c r="W43" s="89" t="str">
        <f t="shared" si="1"/>
        <v>A039</v>
      </c>
      <c r="X43" s="89" t="str">
        <f t="shared" si="2"/>
        <v>A000963</v>
      </c>
      <c r="Y43" s="86"/>
    </row>
    <row r="44" spans="2:25" ht="25.5" customHeight="1" x14ac:dyDescent="0.2">
      <c r="B44" s="100"/>
      <c r="C44" s="109">
        <v>3</v>
      </c>
      <c r="D44" s="321" t="s">
        <v>613</v>
      </c>
      <c r="E44" s="321"/>
      <c r="F44" s="321"/>
      <c r="G44" s="321"/>
      <c r="H44" s="101"/>
      <c r="L44" s="62"/>
      <c r="M44" s="93" t="s">
        <v>1078</v>
      </c>
      <c r="N44" s="233" t="s">
        <v>98</v>
      </c>
      <c r="O44" s="124">
        <v>76</v>
      </c>
      <c r="P44" s="64"/>
      <c r="Q44" s="131" t="s">
        <v>1081</v>
      </c>
      <c r="R44" s="65"/>
      <c r="T44" s="83"/>
      <c r="U44" s="87" t="s">
        <v>233</v>
      </c>
      <c r="V44" s="87" t="s">
        <v>321</v>
      </c>
      <c r="W44" s="89" t="str">
        <f t="shared" si="1"/>
        <v>A040</v>
      </c>
      <c r="X44" s="89" t="str">
        <f t="shared" si="2"/>
        <v>A000964</v>
      </c>
      <c r="Y44" s="86"/>
    </row>
    <row r="45" spans="2:25" ht="25.5" customHeight="1" x14ac:dyDescent="0.2">
      <c r="B45" s="100"/>
      <c r="C45" s="109">
        <v>4</v>
      </c>
      <c r="D45" s="321" t="s">
        <v>614</v>
      </c>
      <c r="E45" s="321"/>
      <c r="F45" s="321"/>
      <c r="G45" s="321"/>
      <c r="H45" s="101"/>
      <c r="L45" s="62"/>
      <c r="M45" s="93" t="s">
        <v>178</v>
      </c>
      <c r="N45" s="233" t="s">
        <v>106</v>
      </c>
      <c r="O45" s="124">
        <v>76</v>
      </c>
      <c r="P45" s="64"/>
      <c r="Q45" s="131" t="s">
        <v>244</v>
      </c>
      <c r="R45" s="65"/>
      <c r="T45" s="83"/>
      <c r="U45" s="87" t="s">
        <v>234</v>
      </c>
      <c r="V45" s="87" t="s">
        <v>235</v>
      </c>
      <c r="W45" s="89" t="str">
        <f t="shared" si="1"/>
        <v>A041</v>
      </c>
      <c r="X45" s="89" t="str">
        <f t="shared" si="2"/>
        <v>A000965</v>
      </c>
      <c r="Y45" s="86"/>
    </row>
    <row r="46" spans="2:25" ht="25.5" customHeight="1" thickBot="1" x14ac:dyDescent="0.25">
      <c r="B46" s="102"/>
      <c r="C46" s="103"/>
      <c r="D46" s="103"/>
      <c r="E46" s="103"/>
      <c r="F46" s="103"/>
      <c r="G46" s="103"/>
      <c r="H46" s="104"/>
      <c r="L46" s="62"/>
      <c r="M46" s="93" t="s">
        <v>160</v>
      </c>
      <c r="N46" s="233" t="s">
        <v>104</v>
      </c>
      <c r="O46" s="124">
        <v>76</v>
      </c>
      <c r="P46" s="64"/>
      <c r="Q46" s="131" t="s">
        <v>244</v>
      </c>
      <c r="R46" s="65"/>
      <c r="T46" s="83"/>
      <c r="U46" s="88" t="s">
        <v>322</v>
      </c>
      <c r="V46" s="87" t="s">
        <v>786</v>
      </c>
      <c r="W46" s="89" t="str">
        <f t="shared" si="1"/>
        <v>A081</v>
      </c>
      <c r="X46" s="89" t="str">
        <f t="shared" si="2"/>
        <v>A000966</v>
      </c>
      <c r="Y46" s="86"/>
    </row>
    <row r="47" spans="2:25" ht="25.5" customHeight="1" x14ac:dyDescent="0.2">
      <c r="L47" s="62"/>
      <c r="M47" s="93" t="s">
        <v>147</v>
      </c>
      <c r="N47" s="233" t="s">
        <v>120</v>
      </c>
      <c r="O47" s="124">
        <v>76</v>
      </c>
      <c r="P47" s="64"/>
      <c r="Q47" s="131" t="s">
        <v>245</v>
      </c>
      <c r="R47" s="65"/>
      <c r="T47" s="83"/>
      <c r="U47" s="88" t="s">
        <v>323</v>
      </c>
      <c r="V47" s="88" t="s">
        <v>787</v>
      </c>
      <c r="W47" s="89" t="str">
        <f t="shared" si="1"/>
        <v>A082</v>
      </c>
      <c r="X47" s="89" t="str">
        <f t="shared" si="2"/>
        <v>A000967</v>
      </c>
      <c r="Y47" s="86"/>
    </row>
    <row r="48" spans="2:25" ht="25.5" customHeight="1" x14ac:dyDescent="0.2">
      <c r="L48" s="62"/>
      <c r="M48" s="93" t="s">
        <v>177</v>
      </c>
      <c r="N48" s="233" t="s">
        <v>119</v>
      </c>
      <c r="O48" s="124">
        <v>76</v>
      </c>
      <c r="P48" s="64"/>
      <c r="Q48" s="131" t="s">
        <v>246</v>
      </c>
      <c r="R48" s="65"/>
      <c r="T48" s="83"/>
      <c r="U48" s="88" t="s">
        <v>324</v>
      </c>
      <c r="V48" s="88" t="s">
        <v>1079</v>
      </c>
      <c r="W48" s="89" t="str">
        <f t="shared" si="1"/>
        <v>A083</v>
      </c>
      <c r="X48" s="89" t="str">
        <f t="shared" si="2"/>
        <v>A000968</v>
      </c>
      <c r="Y48" s="86"/>
    </row>
    <row r="49" spans="3:27" ht="25.5" customHeight="1" x14ac:dyDescent="0.2">
      <c r="C49" s="51"/>
      <c r="L49" s="62"/>
      <c r="M49" s="93" t="s">
        <v>145</v>
      </c>
      <c r="N49" s="233" t="s">
        <v>110</v>
      </c>
      <c r="O49" s="124">
        <v>76</v>
      </c>
      <c r="P49" s="64"/>
      <c r="Q49" s="131" t="s">
        <v>247</v>
      </c>
      <c r="R49" s="65"/>
      <c r="T49" s="83"/>
      <c r="U49" s="88" t="s">
        <v>325</v>
      </c>
      <c r="V49" s="88" t="s">
        <v>788</v>
      </c>
      <c r="W49" s="89" t="str">
        <f t="shared" si="1"/>
        <v>A087</v>
      </c>
      <c r="X49" s="89" t="str">
        <f t="shared" si="2"/>
        <v>A000972</v>
      </c>
      <c r="Y49" s="86"/>
    </row>
    <row r="50" spans="3:27" ht="25.5" customHeight="1" x14ac:dyDescent="0.2">
      <c r="L50" s="62"/>
      <c r="M50" s="93" t="s">
        <v>149</v>
      </c>
      <c r="N50" s="233" t="s">
        <v>108</v>
      </c>
      <c r="O50" s="124">
        <v>76</v>
      </c>
      <c r="P50" s="64"/>
      <c r="Q50" s="131" t="s">
        <v>248</v>
      </c>
      <c r="R50" s="65"/>
      <c r="T50" s="83"/>
      <c r="U50" s="88" t="s">
        <v>326</v>
      </c>
      <c r="V50" s="88" t="s">
        <v>789</v>
      </c>
      <c r="W50" s="89" t="str">
        <f t="shared" si="1"/>
        <v>A089</v>
      </c>
      <c r="X50" s="89" t="str">
        <f t="shared" si="2"/>
        <v>A000974</v>
      </c>
      <c r="Y50" s="86"/>
    </row>
    <row r="51" spans="3:27" ht="25.5" customHeight="1" x14ac:dyDescent="0.2">
      <c r="L51" s="62"/>
      <c r="M51" s="93" t="s">
        <v>180</v>
      </c>
      <c r="N51" s="233" t="s">
        <v>96</v>
      </c>
      <c r="O51" s="124">
        <v>76</v>
      </c>
      <c r="P51" s="64"/>
      <c r="Q51" s="131" t="s">
        <v>249</v>
      </c>
      <c r="R51" s="65"/>
      <c r="T51" s="83"/>
      <c r="U51" s="88" t="s">
        <v>350</v>
      </c>
      <c r="V51" s="88" t="s">
        <v>790</v>
      </c>
      <c r="W51" s="89" t="str">
        <f t="shared" si="1"/>
        <v>A090</v>
      </c>
      <c r="X51" s="89" t="str">
        <f t="shared" si="2"/>
        <v>A000975</v>
      </c>
      <c r="Y51" s="86"/>
    </row>
    <row r="52" spans="3:27" ht="25.5" customHeight="1" x14ac:dyDescent="0.2">
      <c r="L52" s="62"/>
      <c r="M52" s="93" t="s">
        <v>148</v>
      </c>
      <c r="N52" s="233" t="s">
        <v>109</v>
      </c>
      <c r="O52" s="124">
        <v>76</v>
      </c>
      <c r="P52" s="64"/>
      <c r="Q52" s="131" t="s">
        <v>250</v>
      </c>
      <c r="R52" s="65"/>
      <c r="T52" s="83"/>
      <c r="U52" s="88" t="s">
        <v>238</v>
      </c>
      <c r="V52" s="88" t="s">
        <v>239</v>
      </c>
      <c r="W52" s="89" t="str">
        <f t="shared" si="1"/>
        <v>RAA-</v>
      </c>
      <c r="X52" s="89" t="str">
        <f t="shared" si="2"/>
        <v>A000999</v>
      </c>
      <c r="Y52" s="86"/>
    </row>
    <row r="53" spans="3:27" ht="25.5" customHeight="1" x14ac:dyDescent="0.2">
      <c r="L53" s="62"/>
      <c r="M53" s="93" t="s">
        <v>150</v>
      </c>
      <c r="N53" s="233" t="s">
        <v>105</v>
      </c>
      <c r="O53" s="124">
        <v>76</v>
      </c>
      <c r="P53" s="64"/>
      <c r="Q53" s="131" t="s">
        <v>251</v>
      </c>
      <c r="R53" s="65"/>
      <c r="T53" s="83"/>
      <c r="U53" s="87" t="s">
        <v>236</v>
      </c>
      <c r="V53" s="87" t="s">
        <v>237</v>
      </c>
      <c r="W53" s="89" t="str">
        <f>V53</f>
        <v>RAA-SFA</v>
      </c>
      <c r="X53" s="89" t="str">
        <f t="shared" si="2"/>
        <v>A000998</v>
      </c>
      <c r="Y53" s="86"/>
    </row>
    <row r="54" spans="3:27" ht="25.5" customHeight="1" x14ac:dyDescent="0.2">
      <c r="L54" s="62"/>
      <c r="M54" s="93" t="s">
        <v>166</v>
      </c>
      <c r="N54" s="233" t="s">
        <v>93</v>
      </c>
      <c r="O54" s="124">
        <v>76</v>
      </c>
      <c r="P54" s="64"/>
      <c r="Q54" s="131" t="s">
        <v>252</v>
      </c>
      <c r="R54" s="65"/>
      <c r="T54" s="83"/>
      <c r="U54" s="87"/>
      <c r="V54" s="88"/>
      <c r="W54" s="89">
        <f>V54</f>
        <v>0</v>
      </c>
      <c r="X54" s="89">
        <f t="shared" si="2"/>
        <v>0</v>
      </c>
      <c r="Y54" s="86"/>
    </row>
    <row r="55" spans="3:27" ht="25.5" customHeight="1" x14ac:dyDescent="0.2">
      <c r="L55" s="62"/>
      <c r="M55" s="93" t="s">
        <v>144</v>
      </c>
      <c r="N55" s="233" t="s">
        <v>121</v>
      </c>
      <c r="O55" s="124">
        <v>76</v>
      </c>
      <c r="P55" s="64"/>
      <c r="Q55" s="131" t="s">
        <v>253</v>
      </c>
      <c r="R55" s="65"/>
      <c r="T55" s="83"/>
      <c r="U55" s="87"/>
      <c r="V55" s="87"/>
      <c r="W55" s="89" t="str">
        <f t="shared" ref="W55" si="3">LEFT(V55,4)</f>
        <v/>
      </c>
      <c r="X55" s="89">
        <f t="shared" ref="X55" si="4">U55</f>
        <v>0</v>
      </c>
      <c r="Y55" s="86"/>
    </row>
    <row r="56" spans="3:27" ht="25.5" customHeight="1" x14ac:dyDescent="0.2">
      <c r="L56" s="62"/>
      <c r="M56" s="93" t="s">
        <v>156</v>
      </c>
      <c r="N56" s="233" t="s">
        <v>123</v>
      </c>
      <c r="O56" s="124">
        <v>76</v>
      </c>
      <c r="P56" s="64"/>
      <c r="Q56" s="131" t="s">
        <v>254</v>
      </c>
      <c r="R56" s="65"/>
      <c r="T56" s="83"/>
      <c r="U56" s="88"/>
      <c r="V56" s="88"/>
      <c r="W56" s="89" t="str">
        <f t="shared" ref="W56" si="5">LEFT(V56,4)</f>
        <v/>
      </c>
      <c r="X56" s="89">
        <f t="shared" ref="X56" si="6">U56</f>
        <v>0</v>
      </c>
      <c r="Y56" s="86"/>
    </row>
    <row r="57" spans="3:27" ht="25.5" customHeight="1" x14ac:dyDescent="0.2">
      <c r="L57" s="62"/>
      <c r="M57" s="93" t="s">
        <v>173</v>
      </c>
      <c r="N57" s="233" t="s">
        <v>92</v>
      </c>
      <c r="O57" s="124">
        <v>76</v>
      </c>
      <c r="P57" s="64"/>
      <c r="Q57" s="131" t="s">
        <v>255</v>
      </c>
      <c r="R57" s="65"/>
      <c r="T57" s="83"/>
      <c r="U57" s="88"/>
      <c r="V57" s="88"/>
      <c r="W57" s="89">
        <f>V57</f>
        <v>0</v>
      </c>
      <c r="X57" s="89">
        <f>U57</f>
        <v>0</v>
      </c>
      <c r="Y57" s="86"/>
    </row>
    <row r="58" spans="3:27" ht="25.5" customHeight="1" x14ac:dyDescent="0.2">
      <c r="L58" s="62"/>
      <c r="M58" s="93" t="s">
        <v>152</v>
      </c>
      <c r="N58" s="233" t="s">
        <v>107</v>
      </c>
      <c r="O58" s="124">
        <v>76</v>
      </c>
      <c r="P58" s="64"/>
      <c r="Q58" s="131" t="s">
        <v>256</v>
      </c>
      <c r="R58" s="65"/>
      <c r="T58" s="83"/>
      <c r="U58" s="88"/>
      <c r="V58" s="88"/>
      <c r="W58" s="89">
        <f>V58</f>
        <v>0</v>
      </c>
      <c r="X58" s="89">
        <f>U58</f>
        <v>0</v>
      </c>
      <c r="Y58" s="86"/>
    </row>
    <row r="59" spans="3:27" ht="25.5" customHeight="1" thickBot="1" x14ac:dyDescent="0.25">
      <c r="L59" s="62"/>
      <c r="M59" s="93" t="s">
        <v>165</v>
      </c>
      <c r="N59" s="233" t="s">
        <v>124</v>
      </c>
      <c r="O59" s="124">
        <v>76</v>
      </c>
      <c r="P59" s="64"/>
      <c r="Q59" s="131" t="s">
        <v>257</v>
      </c>
      <c r="R59" s="65"/>
      <c r="T59" s="94"/>
      <c r="U59" s="95"/>
      <c r="V59" s="95"/>
      <c r="W59" s="95"/>
      <c r="X59" s="95"/>
      <c r="Y59" s="96"/>
    </row>
    <row r="60" spans="3:27" ht="25.5" customHeight="1" x14ac:dyDescent="0.2">
      <c r="L60" s="62"/>
      <c r="M60" s="93" t="s">
        <v>154</v>
      </c>
      <c r="N60" s="233" t="s">
        <v>102</v>
      </c>
      <c r="O60" s="124">
        <v>76</v>
      </c>
      <c r="P60" s="64"/>
      <c r="Q60" s="131" t="s">
        <v>258</v>
      </c>
      <c r="R60" s="65"/>
    </row>
    <row r="61" spans="3:27" ht="25.5" customHeight="1" x14ac:dyDescent="0.2">
      <c r="L61" s="62"/>
      <c r="M61" s="93" t="s">
        <v>181</v>
      </c>
      <c r="N61" s="233" t="s">
        <v>97</v>
      </c>
      <c r="O61" s="124">
        <v>76</v>
      </c>
      <c r="P61" s="64"/>
      <c r="Q61" s="131" t="s">
        <v>259</v>
      </c>
      <c r="R61" s="65"/>
      <c r="S61" s="51"/>
      <c r="AA61" s="51"/>
    </row>
    <row r="62" spans="3:27" ht="25.5" customHeight="1" x14ac:dyDescent="0.2">
      <c r="L62" s="62"/>
      <c r="M62" s="93" t="s">
        <v>151</v>
      </c>
      <c r="N62" s="233" t="s">
        <v>122</v>
      </c>
      <c r="O62" s="124">
        <v>76</v>
      </c>
      <c r="P62" s="64"/>
      <c r="Q62" s="131" t="s">
        <v>260</v>
      </c>
      <c r="R62" s="65"/>
      <c r="S62" s="51"/>
      <c r="AA62" s="51"/>
    </row>
    <row r="63" spans="3:27" ht="25.5" customHeight="1" x14ac:dyDescent="0.2">
      <c r="L63" s="62"/>
      <c r="M63" s="93" t="s">
        <v>168</v>
      </c>
      <c r="N63" s="233" t="s">
        <v>127</v>
      </c>
      <c r="O63" s="124">
        <v>76</v>
      </c>
      <c r="P63" s="64"/>
      <c r="Q63" s="131" t="s">
        <v>261</v>
      </c>
      <c r="R63" s="65"/>
      <c r="S63" s="51"/>
      <c r="AA63" s="51"/>
    </row>
    <row r="64" spans="3:27" ht="25.5" customHeight="1" x14ac:dyDescent="0.2">
      <c r="L64" s="62"/>
      <c r="M64" s="93" t="s">
        <v>157</v>
      </c>
      <c r="N64" s="233" t="s">
        <v>101</v>
      </c>
      <c r="O64" s="124">
        <v>76</v>
      </c>
      <c r="P64" s="64"/>
      <c r="Q64" s="131" t="s">
        <v>262</v>
      </c>
      <c r="R64" s="65"/>
    </row>
    <row r="65" spans="12:27" ht="25.5" customHeight="1" x14ac:dyDescent="0.2">
      <c r="L65" s="62"/>
      <c r="M65" s="116" t="s">
        <v>175</v>
      </c>
      <c r="N65" s="233" t="s">
        <v>100</v>
      </c>
      <c r="O65" s="124">
        <v>76</v>
      </c>
      <c r="P65" s="64"/>
      <c r="Q65" s="131" t="s">
        <v>263</v>
      </c>
      <c r="R65" s="65"/>
      <c r="S65" s="51"/>
      <c r="AA65" s="51"/>
    </row>
    <row r="66" spans="12:27" ht="25.5" customHeight="1" x14ac:dyDescent="0.2">
      <c r="L66" s="62"/>
      <c r="M66" s="93" t="s">
        <v>161</v>
      </c>
      <c r="N66" s="233" t="s">
        <v>125</v>
      </c>
      <c r="O66" s="124">
        <v>76</v>
      </c>
      <c r="P66" s="64"/>
      <c r="Q66" s="131" t="s">
        <v>264</v>
      </c>
      <c r="R66" s="65"/>
      <c r="S66" s="51"/>
      <c r="AA66" s="51"/>
    </row>
    <row r="67" spans="12:27" ht="25.5" customHeight="1" x14ac:dyDescent="0.2">
      <c r="L67" s="62"/>
      <c r="M67" s="122" t="s">
        <v>169</v>
      </c>
      <c r="N67" s="233" t="s">
        <v>94</v>
      </c>
      <c r="O67" s="124">
        <v>76</v>
      </c>
      <c r="P67" s="64"/>
      <c r="Q67" s="131" t="s">
        <v>265</v>
      </c>
      <c r="R67" s="65"/>
      <c r="S67" s="51"/>
      <c r="AA67" s="51"/>
    </row>
    <row r="68" spans="12:27" ht="25.5" customHeight="1" x14ac:dyDescent="0.2">
      <c r="L68" s="62"/>
      <c r="M68" s="122" t="s">
        <v>167</v>
      </c>
      <c r="N68" s="233" t="s">
        <v>128</v>
      </c>
      <c r="O68" s="124">
        <v>76</v>
      </c>
      <c r="P68" s="64"/>
      <c r="Q68" s="131" t="s">
        <v>266</v>
      </c>
      <c r="R68" s="65"/>
      <c r="S68" s="51"/>
      <c r="AA68" s="51"/>
    </row>
    <row r="69" spans="12:27" ht="25.5" customHeight="1" x14ac:dyDescent="0.2">
      <c r="L69" s="62"/>
      <c r="M69" s="122" t="s">
        <v>162</v>
      </c>
      <c r="N69" s="233" t="s">
        <v>99</v>
      </c>
      <c r="O69" s="124">
        <v>76</v>
      </c>
      <c r="P69" s="64"/>
      <c r="Q69" s="131" t="s">
        <v>267</v>
      </c>
      <c r="R69" s="65"/>
      <c r="S69" s="51"/>
      <c r="AA69" s="51"/>
    </row>
    <row r="70" spans="12:27" ht="25.5" customHeight="1" x14ac:dyDescent="0.2">
      <c r="L70" s="62"/>
      <c r="M70" s="122" t="s">
        <v>164</v>
      </c>
      <c r="N70" s="233" t="s">
        <v>95</v>
      </c>
      <c r="O70" s="124">
        <v>76</v>
      </c>
      <c r="P70" s="64"/>
      <c r="Q70" s="131" t="s">
        <v>268</v>
      </c>
      <c r="R70" s="65"/>
      <c r="S70" s="51"/>
      <c r="AA70" s="51"/>
    </row>
    <row r="71" spans="12:27" ht="25.5" customHeight="1" x14ac:dyDescent="0.2">
      <c r="L71" s="62"/>
      <c r="M71" s="122" t="s">
        <v>153</v>
      </c>
      <c r="N71" s="233" t="s">
        <v>103</v>
      </c>
      <c r="O71" s="124">
        <v>76</v>
      </c>
      <c r="P71" s="64"/>
      <c r="Q71" s="131" t="s">
        <v>269</v>
      </c>
      <c r="R71" s="65"/>
      <c r="S71" s="51"/>
      <c r="AA71" s="51"/>
    </row>
    <row r="72" spans="12:27" ht="25.5" customHeight="1" x14ac:dyDescent="0.2">
      <c r="L72" s="62"/>
      <c r="M72" s="122" t="s">
        <v>159</v>
      </c>
      <c r="N72" s="233" t="s">
        <v>129</v>
      </c>
      <c r="O72" s="124">
        <v>76</v>
      </c>
      <c r="P72" s="64"/>
      <c r="Q72" s="131" t="s">
        <v>270</v>
      </c>
      <c r="R72" s="65"/>
      <c r="S72" s="51"/>
      <c r="AA72" s="51"/>
    </row>
    <row r="73" spans="12:27" ht="25.5" customHeight="1" x14ac:dyDescent="0.2">
      <c r="L73" s="62"/>
      <c r="M73" s="122" t="s">
        <v>179</v>
      </c>
      <c r="N73" s="233" t="s">
        <v>91</v>
      </c>
      <c r="O73" s="124">
        <v>76</v>
      </c>
      <c r="P73" s="64"/>
      <c r="Q73" s="131" t="s">
        <v>271</v>
      </c>
      <c r="R73" s="65"/>
      <c r="S73" s="51"/>
      <c r="AA73" s="51"/>
    </row>
    <row r="74" spans="12:27" ht="25.5" customHeight="1" x14ac:dyDescent="0.2">
      <c r="L74" s="62"/>
      <c r="M74" s="122" t="s">
        <v>172</v>
      </c>
      <c r="N74" s="233" t="s">
        <v>111</v>
      </c>
      <c r="O74" s="124">
        <v>76</v>
      </c>
      <c r="P74" s="64"/>
      <c r="Q74" s="131" t="s">
        <v>272</v>
      </c>
      <c r="R74" s="65"/>
      <c r="S74" s="51"/>
      <c r="AA74" s="51"/>
    </row>
    <row r="75" spans="12:27" ht="25.5" customHeight="1" x14ac:dyDescent="0.2">
      <c r="L75" s="62"/>
      <c r="M75" s="122" t="s">
        <v>163</v>
      </c>
      <c r="N75" s="233" t="s">
        <v>113</v>
      </c>
      <c r="O75" s="124">
        <v>76</v>
      </c>
      <c r="P75" s="64"/>
      <c r="Q75" s="131" t="s">
        <v>273</v>
      </c>
      <c r="R75" s="65"/>
    </row>
    <row r="76" spans="12:27" ht="25.5" customHeight="1" x14ac:dyDescent="0.2">
      <c r="L76" s="62"/>
      <c r="M76" s="122" t="s">
        <v>171</v>
      </c>
      <c r="N76" s="233" t="s">
        <v>114</v>
      </c>
      <c r="O76" s="124">
        <v>76</v>
      </c>
      <c r="P76" s="64"/>
      <c r="Q76" s="131" t="s">
        <v>274</v>
      </c>
      <c r="R76" s="65"/>
    </row>
    <row r="77" spans="12:27" ht="25.5" customHeight="1" x14ac:dyDescent="0.2">
      <c r="L77" s="62"/>
      <c r="M77" s="122" t="s">
        <v>170</v>
      </c>
      <c r="N77" s="233" t="s">
        <v>126</v>
      </c>
      <c r="O77" s="124">
        <v>76</v>
      </c>
      <c r="P77" s="64"/>
      <c r="Q77" s="131" t="s">
        <v>275</v>
      </c>
      <c r="R77" s="65"/>
      <c r="X77" s="50"/>
      <c r="Z77" s="49"/>
    </row>
    <row r="78" spans="12:27" ht="25.5" customHeight="1" x14ac:dyDescent="0.2">
      <c r="L78" s="62"/>
      <c r="M78" s="122" t="s">
        <v>174</v>
      </c>
      <c r="N78" s="233" t="s">
        <v>112</v>
      </c>
      <c r="O78" s="124">
        <v>76</v>
      </c>
      <c r="P78" s="64"/>
      <c r="Q78" s="131" t="s">
        <v>276</v>
      </c>
      <c r="R78" s="65"/>
      <c r="X78" s="50"/>
      <c r="Z78" s="49"/>
    </row>
    <row r="79" spans="12:27" ht="25.5" customHeight="1" x14ac:dyDescent="0.2">
      <c r="L79" s="62"/>
      <c r="M79" s="122" t="s">
        <v>158</v>
      </c>
      <c r="N79" s="233" t="s">
        <v>115</v>
      </c>
      <c r="O79" s="124">
        <v>76</v>
      </c>
      <c r="P79" s="64"/>
      <c r="Q79" s="131" t="s">
        <v>277</v>
      </c>
      <c r="R79" s="65"/>
      <c r="X79" s="50"/>
      <c r="Z79" s="49"/>
    </row>
    <row r="80" spans="12:27" ht="25.5" customHeight="1" x14ac:dyDescent="0.2">
      <c r="L80" s="62"/>
      <c r="M80" s="122" t="s">
        <v>146</v>
      </c>
      <c r="N80" s="233" t="s">
        <v>116</v>
      </c>
      <c r="O80" s="124">
        <v>76</v>
      </c>
      <c r="P80" s="64"/>
      <c r="Q80" s="131" t="s">
        <v>278</v>
      </c>
      <c r="R80" s="65"/>
      <c r="X80" s="50"/>
      <c r="Z80" s="49"/>
    </row>
    <row r="81" spans="12:26" ht="25.5" customHeight="1" x14ac:dyDescent="0.2">
      <c r="L81" s="62"/>
      <c r="M81" s="122" t="s">
        <v>155</v>
      </c>
      <c r="N81" s="233" t="s">
        <v>118</v>
      </c>
      <c r="O81" s="124">
        <v>76</v>
      </c>
      <c r="P81" s="64"/>
      <c r="Q81" s="131" t="s">
        <v>279</v>
      </c>
      <c r="R81" s="65"/>
      <c r="X81" s="50"/>
      <c r="Z81" s="49"/>
    </row>
    <row r="82" spans="12:26" ht="25.5" customHeight="1" x14ac:dyDescent="0.2">
      <c r="L82" s="62"/>
      <c r="M82" s="122" t="s">
        <v>176</v>
      </c>
      <c r="N82" s="233" t="s">
        <v>117</v>
      </c>
      <c r="O82" s="124">
        <v>76</v>
      </c>
      <c r="P82" s="64"/>
      <c r="Q82" s="131" t="s">
        <v>280</v>
      </c>
      <c r="R82" s="65"/>
      <c r="X82" s="50"/>
      <c r="Z82" s="49"/>
    </row>
    <row r="83" spans="12:26" ht="25.5" customHeight="1" x14ac:dyDescent="0.2">
      <c r="L83" s="62"/>
      <c r="M83" s="93" t="s">
        <v>287</v>
      </c>
      <c r="N83" s="233" t="s">
        <v>88</v>
      </c>
      <c r="O83" s="124">
        <v>73</v>
      </c>
      <c r="P83" s="64"/>
      <c r="Q83" s="131" t="s">
        <v>281</v>
      </c>
      <c r="R83" s="65"/>
      <c r="X83" s="50"/>
      <c r="Z83" s="49"/>
    </row>
    <row r="84" spans="12:26" ht="25.5" customHeight="1" x14ac:dyDescent="0.2">
      <c r="L84" s="62"/>
      <c r="M84" s="93" t="s">
        <v>351</v>
      </c>
      <c r="N84" s="233" t="s">
        <v>83</v>
      </c>
      <c r="O84" s="124">
        <v>80</v>
      </c>
      <c r="P84" s="64"/>
      <c r="Q84" s="131" t="s">
        <v>282</v>
      </c>
      <c r="R84" s="65"/>
      <c r="X84" s="50"/>
      <c r="Z84" s="49"/>
    </row>
    <row r="85" spans="12:26" ht="25.5" customHeight="1" x14ac:dyDescent="0.2">
      <c r="L85" s="62"/>
      <c r="M85" s="93" t="s">
        <v>141</v>
      </c>
      <c r="N85" s="233" t="s">
        <v>90</v>
      </c>
      <c r="O85" s="124">
        <v>81</v>
      </c>
      <c r="P85" s="64"/>
      <c r="Q85" s="131" t="str">
        <f t="shared" ref="Q85:Q96" si="7">M85</f>
        <v>Fundo Regional do Emprego</v>
      </c>
      <c r="R85" s="65"/>
      <c r="X85" s="50"/>
      <c r="Z85" s="49"/>
    </row>
    <row r="86" spans="12:26" ht="25.5" customHeight="1" x14ac:dyDescent="0.2">
      <c r="L86" s="62"/>
      <c r="M86" s="93" t="s">
        <v>352</v>
      </c>
      <c r="N86" s="233" t="s">
        <v>89</v>
      </c>
      <c r="O86" s="124">
        <v>80</v>
      </c>
      <c r="P86" s="64"/>
      <c r="Q86" s="131" t="str">
        <f t="shared" si="7"/>
        <v>Fundo Regional dos Transportes Terrestres</v>
      </c>
      <c r="R86" s="65"/>
      <c r="X86" s="50"/>
      <c r="Z86" s="49"/>
    </row>
    <row r="87" spans="12:26" ht="25.5" customHeight="1" x14ac:dyDescent="0.2">
      <c r="L87" s="62"/>
      <c r="M87" s="93" t="s">
        <v>764</v>
      </c>
      <c r="N87" s="233" t="s">
        <v>73</v>
      </c>
      <c r="O87" s="124">
        <v>76</v>
      </c>
      <c r="P87" s="64"/>
      <c r="Q87" s="131" t="str">
        <f t="shared" si="7"/>
        <v>Gabinete da Secretária Regional da Educação, Cultura e Desporto</v>
      </c>
      <c r="R87" s="65"/>
    </row>
    <row r="88" spans="12:26" ht="25.5" customHeight="1" x14ac:dyDescent="0.2">
      <c r="L88" s="62"/>
      <c r="M88" s="93" t="s">
        <v>765</v>
      </c>
      <c r="N88" s="233" t="s">
        <v>311</v>
      </c>
      <c r="O88" s="124">
        <v>81</v>
      </c>
      <c r="P88" s="64"/>
      <c r="Q88" s="131" t="str">
        <f t="shared" si="7"/>
        <v>Gabinete da Secretária Regional da Juventude, Habitação e Emprego</v>
      </c>
      <c r="R88" s="65"/>
    </row>
    <row r="89" spans="12:26" ht="25.5" customHeight="1" x14ac:dyDescent="0.2">
      <c r="L89" s="62"/>
      <c r="M89" s="122" t="s">
        <v>766</v>
      </c>
      <c r="N89" s="233" t="s">
        <v>53</v>
      </c>
      <c r="O89" s="124">
        <v>77</v>
      </c>
      <c r="P89" s="64"/>
      <c r="Q89" s="131" t="str">
        <f t="shared" si="7"/>
        <v>Gabinete da Secretária Regional da Saúde e Segurança Social</v>
      </c>
      <c r="R89" s="65"/>
    </row>
    <row r="90" spans="12:26" ht="25.5" customHeight="1" x14ac:dyDescent="0.2">
      <c r="L90" s="62"/>
      <c r="M90" s="93" t="s">
        <v>1086</v>
      </c>
      <c r="N90" s="233" t="s">
        <v>51</v>
      </c>
      <c r="O90" s="124">
        <v>80</v>
      </c>
      <c r="P90" s="64"/>
      <c r="Q90" s="131" t="str">
        <f t="shared" si="7"/>
        <v>Gabinete da Secretária Regional do Turismos, Mobilidade e Infraestruturas</v>
      </c>
      <c r="R90" s="65"/>
    </row>
    <row r="91" spans="12:26" ht="25.5" customHeight="1" x14ac:dyDescent="0.2">
      <c r="L91" s="62"/>
      <c r="M91" s="93" t="s">
        <v>767</v>
      </c>
      <c r="N91" s="233" t="s">
        <v>67</v>
      </c>
      <c r="O91" s="124">
        <v>78</v>
      </c>
      <c r="P91" s="64"/>
      <c r="Q91" s="131" t="str">
        <f t="shared" si="7"/>
        <v>Gabinete do Secretário Regional da Agricultura e Alimentação</v>
      </c>
      <c r="R91" s="65"/>
    </row>
    <row r="92" spans="12:26" ht="25.5" customHeight="1" x14ac:dyDescent="0.2">
      <c r="L92" s="62"/>
      <c r="M92" s="265" t="s">
        <v>1082</v>
      </c>
      <c r="N92" s="233" t="s">
        <v>55</v>
      </c>
      <c r="O92" s="124">
        <v>74</v>
      </c>
      <c r="P92" s="64"/>
      <c r="Q92" s="131" t="str">
        <f t="shared" si="7"/>
        <v>Gabinete do Secretário Regional das Finanças, Planeamento e Administração Pública</v>
      </c>
      <c r="R92" s="65"/>
    </row>
    <row r="93" spans="12:26" ht="25.5" customHeight="1" x14ac:dyDescent="0.2">
      <c r="L93" s="62"/>
      <c r="M93" s="93" t="s">
        <v>769</v>
      </c>
      <c r="N93" s="233" t="s">
        <v>81</v>
      </c>
      <c r="O93" s="124">
        <v>82</v>
      </c>
      <c r="P93" s="64"/>
      <c r="Q93" s="131" t="str">
        <f t="shared" si="7"/>
        <v>Gabinete do Secretário Regional do Ambiente e Ação Climática</v>
      </c>
      <c r="R93" s="65"/>
    </row>
    <row r="94" spans="12:26" ht="25.5" customHeight="1" x14ac:dyDescent="0.2">
      <c r="L94" s="62"/>
      <c r="M94" s="93" t="s">
        <v>1083</v>
      </c>
      <c r="N94" s="233" t="s">
        <v>78</v>
      </c>
      <c r="O94" s="124">
        <v>79</v>
      </c>
      <c r="P94" s="64"/>
      <c r="Q94" s="131" t="str">
        <f t="shared" si="7"/>
        <v>Gabinete do Secretário Regional do Mar e das Pescas</v>
      </c>
      <c r="R94" s="65"/>
    </row>
    <row r="95" spans="12:26" ht="25.5" customHeight="1" x14ac:dyDescent="0.2">
      <c r="L95" s="62"/>
      <c r="M95" s="116" t="s">
        <v>772</v>
      </c>
      <c r="N95" s="233" t="s">
        <v>349</v>
      </c>
      <c r="O95" s="124">
        <v>75</v>
      </c>
      <c r="P95" s="64"/>
      <c r="Q95" s="131" t="str">
        <f t="shared" si="7"/>
        <v xml:space="preserve">Gabinete do Secretário Regional dos Assuntos Parlamentares e Comunidades </v>
      </c>
      <c r="R95" s="65"/>
    </row>
    <row r="96" spans="12:26" ht="25.5" customHeight="1" x14ac:dyDescent="0.2">
      <c r="L96" s="62"/>
      <c r="M96" s="93" t="s">
        <v>1087</v>
      </c>
      <c r="N96" s="233" t="s">
        <v>58</v>
      </c>
      <c r="O96" s="124">
        <v>73</v>
      </c>
      <c r="P96" s="64"/>
      <c r="Q96" s="131" t="str">
        <f t="shared" si="7"/>
        <v>Gabinete do Vicepresidente do Governo Regional</v>
      </c>
      <c r="R96" s="65"/>
    </row>
    <row r="97" spans="12:18" ht="25.5" customHeight="1" x14ac:dyDescent="0.2">
      <c r="L97" s="62"/>
      <c r="M97" s="93" t="s">
        <v>310</v>
      </c>
      <c r="N97" s="233" t="s">
        <v>81</v>
      </c>
      <c r="O97" s="124">
        <v>82</v>
      </c>
      <c r="P97" s="64"/>
      <c r="Q97" s="131" t="s">
        <v>643</v>
      </c>
      <c r="R97" s="65"/>
    </row>
    <row r="98" spans="12:18" ht="25.5" customHeight="1" x14ac:dyDescent="0.2">
      <c r="L98" s="62"/>
      <c r="M98" s="122" t="s">
        <v>768</v>
      </c>
      <c r="N98" s="233" t="s">
        <v>73</v>
      </c>
      <c r="O98" s="124">
        <v>76</v>
      </c>
      <c r="P98" s="64"/>
      <c r="Q98" s="131" t="s">
        <v>296</v>
      </c>
      <c r="R98" s="65"/>
    </row>
    <row r="99" spans="12:18" ht="25.5" customHeight="1" x14ac:dyDescent="0.2">
      <c r="L99" s="62"/>
      <c r="M99" s="93" t="s">
        <v>308</v>
      </c>
      <c r="N99" s="233" t="s">
        <v>55</v>
      </c>
      <c r="O99" s="124">
        <v>74</v>
      </c>
      <c r="P99" s="64"/>
      <c r="Q99" s="131" t="s">
        <v>295</v>
      </c>
      <c r="R99" s="65"/>
    </row>
    <row r="100" spans="12:18" ht="25.5" customHeight="1" x14ac:dyDescent="0.2">
      <c r="L100" s="62"/>
      <c r="M100" s="93" t="s">
        <v>770</v>
      </c>
      <c r="N100" s="233" t="s">
        <v>311</v>
      </c>
      <c r="O100" s="124">
        <v>81</v>
      </c>
      <c r="P100" s="64"/>
      <c r="Q100" s="131" t="s">
        <v>303</v>
      </c>
      <c r="R100" s="65"/>
    </row>
    <row r="101" spans="12:18" ht="25.5" customHeight="1" x14ac:dyDescent="0.2">
      <c r="L101" s="62"/>
      <c r="M101" s="93" t="s">
        <v>771</v>
      </c>
      <c r="N101" s="233" t="s">
        <v>311</v>
      </c>
      <c r="O101" s="124">
        <v>81</v>
      </c>
      <c r="P101" s="64"/>
      <c r="Q101" s="131" t="s">
        <v>304</v>
      </c>
      <c r="R101" s="65"/>
    </row>
    <row r="102" spans="12:18" ht="25.5" customHeight="1" x14ac:dyDescent="0.2">
      <c r="L102" s="62"/>
      <c r="M102" s="93" t="s">
        <v>773</v>
      </c>
      <c r="N102" s="233" t="s">
        <v>78</v>
      </c>
      <c r="O102" s="124">
        <v>79</v>
      </c>
      <c r="P102" s="64"/>
      <c r="Q102" s="131" t="s">
        <v>1084</v>
      </c>
      <c r="R102" s="65"/>
    </row>
    <row r="103" spans="12:18" ht="25.5" customHeight="1" x14ac:dyDescent="0.2">
      <c r="L103" s="62"/>
      <c r="M103" s="93" t="s">
        <v>1085</v>
      </c>
      <c r="N103" s="233" t="s">
        <v>53</v>
      </c>
      <c r="O103" s="124">
        <v>77</v>
      </c>
      <c r="P103" s="64"/>
      <c r="Q103" s="131" t="s">
        <v>298</v>
      </c>
      <c r="R103" s="65"/>
    </row>
    <row r="104" spans="12:18" ht="25.5" customHeight="1" x14ac:dyDescent="0.2">
      <c r="L104" s="62"/>
      <c r="M104" s="93" t="s">
        <v>348</v>
      </c>
      <c r="N104" s="233" t="s">
        <v>51</v>
      </c>
      <c r="O104" s="124">
        <v>80</v>
      </c>
      <c r="P104" s="64"/>
      <c r="Q104" s="131" t="s">
        <v>305</v>
      </c>
      <c r="R104" s="65"/>
    </row>
    <row r="105" spans="12:18" ht="25.5" customHeight="1" x14ac:dyDescent="0.2">
      <c r="L105" s="62"/>
      <c r="M105" s="93" t="s">
        <v>299</v>
      </c>
      <c r="N105" s="233" t="s">
        <v>84</v>
      </c>
      <c r="O105" s="124">
        <v>78</v>
      </c>
      <c r="P105" s="64"/>
      <c r="Q105" s="131" t="str">
        <f>M105</f>
        <v>IAMA</v>
      </c>
      <c r="R105" s="65"/>
    </row>
    <row r="106" spans="12:18" ht="25.5" customHeight="1" x14ac:dyDescent="0.2">
      <c r="L106" s="62"/>
      <c r="M106" s="116" t="s">
        <v>313</v>
      </c>
      <c r="N106" s="233" t="s">
        <v>65</v>
      </c>
      <c r="O106" s="124">
        <v>72</v>
      </c>
      <c r="P106" s="64"/>
      <c r="Q106" s="131" t="str">
        <f>M106</f>
        <v>Presidência do Governo Regional - Secretaria Geral da Presidência</v>
      </c>
      <c r="R106" s="65"/>
    </row>
    <row r="107" spans="12:18" ht="25.5" customHeight="1" x14ac:dyDescent="0.2">
      <c r="L107" s="62"/>
      <c r="M107" s="93" t="s">
        <v>314</v>
      </c>
      <c r="N107" s="233" t="s">
        <v>50</v>
      </c>
      <c r="O107" s="124">
        <v>74</v>
      </c>
      <c r="P107" s="64"/>
      <c r="Q107" s="131" t="str">
        <f>M107</f>
        <v>Serviço Regional de Estatística dos Açores</v>
      </c>
      <c r="R107" s="65"/>
    </row>
    <row r="108" spans="12:18" ht="25.5" customHeight="1" x14ac:dyDescent="0.2">
      <c r="L108" s="62"/>
      <c r="M108" s="93" t="s">
        <v>135</v>
      </c>
      <c r="N108" s="233" t="s">
        <v>87</v>
      </c>
      <c r="O108" s="124">
        <v>82</v>
      </c>
      <c r="P108" s="64"/>
      <c r="Q108" s="131" t="str">
        <f>M108</f>
        <v>Serviço Regional de Proteção Civil e Bombeiros dos Açores</v>
      </c>
      <c r="R108" s="65"/>
    </row>
    <row r="109" spans="12:18" ht="25.5" customHeight="1" x14ac:dyDescent="0.2">
      <c r="L109" s="62"/>
      <c r="M109" s="116"/>
      <c r="N109" s="117" t="str">
        <f>" "</f>
        <v xml:space="preserve"> </v>
      </c>
      <c r="O109" s="117" t="str">
        <f>" "</f>
        <v xml:space="preserve"> </v>
      </c>
      <c r="P109" s="64"/>
      <c r="Q109" s="131">
        <f t="shared" ref="Q109:Q110" si="8">M109</f>
        <v>0</v>
      </c>
      <c r="R109" s="65"/>
    </row>
    <row r="110" spans="12:18" ht="25.5" customHeight="1" x14ac:dyDescent="0.2">
      <c r="L110" s="62"/>
      <c r="M110" s="93"/>
      <c r="N110" s="233"/>
      <c r="O110" s="124"/>
      <c r="P110" s="64"/>
      <c r="Q110" s="131">
        <f t="shared" si="8"/>
        <v>0</v>
      </c>
      <c r="R110" s="65"/>
    </row>
    <row r="111" spans="12:18" ht="25.5" customHeight="1" x14ac:dyDescent="0.2">
      <c r="L111" s="62"/>
      <c r="M111" s="93"/>
      <c r="N111" s="117"/>
      <c r="O111" s="124"/>
      <c r="P111" s="64"/>
      <c r="Q111" s="131"/>
      <c r="R111" s="65"/>
    </row>
    <row r="112" spans="12:18" ht="25.5" customHeight="1" x14ac:dyDescent="0.2">
      <c r="L112" s="62"/>
      <c r="M112" s="93"/>
      <c r="N112" s="117"/>
      <c r="O112" s="124"/>
      <c r="P112" s="64"/>
      <c r="Q112" s="131"/>
      <c r="R112" s="65"/>
    </row>
    <row r="113" spans="12:18" ht="25.5" customHeight="1" x14ac:dyDescent="0.2">
      <c r="L113" s="62"/>
      <c r="M113" s="93"/>
      <c r="N113" s="117"/>
      <c r="O113" s="124"/>
      <c r="P113" s="64"/>
      <c r="Q113" s="131"/>
      <c r="R113" s="65"/>
    </row>
    <row r="114" spans="12:18" ht="25.5" customHeight="1" x14ac:dyDescent="0.2">
      <c r="L114" s="62"/>
      <c r="M114" s="93"/>
      <c r="N114" s="117"/>
      <c r="O114" s="124"/>
      <c r="P114" s="64"/>
      <c r="Q114" s="131"/>
      <c r="R114" s="65"/>
    </row>
    <row r="115" spans="12:18" ht="25.5" customHeight="1" x14ac:dyDescent="0.2">
      <c r="L115" s="62"/>
      <c r="M115" s="93"/>
      <c r="N115" s="117"/>
      <c r="O115" s="124"/>
      <c r="P115" s="64"/>
      <c r="Q115" s="131"/>
      <c r="R115" s="65"/>
    </row>
    <row r="116" spans="12:18" ht="25.5" customHeight="1" x14ac:dyDescent="0.2">
      <c r="L116" s="62"/>
      <c r="M116" s="93"/>
      <c r="N116" s="117"/>
      <c r="O116" s="124"/>
      <c r="P116" s="64"/>
      <c r="Q116" s="131"/>
      <c r="R116" s="65"/>
    </row>
    <row r="117" spans="12:18" ht="25.5" customHeight="1" thickBot="1" x14ac:dyDescent="0.25">
      <c r="L117" s="105"/>
      <c r="M117" s="123"/>
      <c r="N117" s="123"/>
      <c r="O117" s="123"/>
      <c r="P117" s="106"/>
      <c r="Q117" s="106"/>
      <c r="R117" s="107"/>
    </row>
    <row r="118" spans="12:18" ht="25.5" customHeight="1" x14ac:dyDescent="0.2">
      <c r="M118" s="49"/>
      <c r="N118" s="49"/>
    </row>
    <row r="119" spans="12:18" ht="25.5" customHeight="1" x14ac:dyDescent="0.2">
      <c r="M119" s="49"/>
      <c r="N119" s="49"/>
    </row>
    <row r="120" spans="12:18" ht="25.5" customHeight="1" x14ac:dyDescent="0.2">
      <c r="M120" s="49"/>
      <c r="N120" s="49"/>
    </row>
    <row r="121" spans="12:18" ht="25.5" customHeight="1" x14ac:dyDescent="0.2">
      <c r="M121" s="49"/>
      <c r="N121" s="49"/>
    </row>
    <row r="122" spans="12:18" ht="25.5" customHeight="1" x14ac:dyDescent="0.2">
      <c r="M122" s="49"/>
      <c r="N122" s="49"/>
    </row>
    <row r="123" spans="12:18" ht="25.5" customHeight="1" x14ac:dyDescent="0.2">
      <c r="M123" s="49"/>
      <c r="N123" s="49"/>
    </row>
    <row r="124" spans="12:18" ht="25.5" customHeight="1" x14ac:dyDescent="0.2">
      <c r="M124" s="49"/>
      <c r="N124" s="49"/>
    </row>
  </sheetData>
  <sheetProtection algorithmName="SHA-512" hashValue="0Y8sb0lRDmOTdxk0dbBdOf0xvBYXCBSD/YagiFW/P8OCZpOyieoa85Ud394THRUwxOYgDxokOyDyrkvn+z4Q5g==" saltValue="R1PCHE5O+sQAjXW7n+44Gg==" spinCount="100000" sheet="1" objects="1" scenarios="1" selectLockedCells="1"/>
  <autoFilter ref="M10:O116" xr:uid="{00000000-0001-0000-0100-000000000000}">
    <sortState xmlns:xlrd2="http://schemas.microsoft.com/office/spreadsheetml/2017/richdata2" ref="M11:O116">
      <sortCondition ref="N10:N116"/>
    </sortState>
  </autoFilter>
  <sortState xmlns:xlrd2="http://schemas.microsoft.com/office/spreadsheetml/2017/richdata2" ref="M11:Q108">
    <sortCondition ref="M11:M108"/>
    <sortCondition ref="N11:N108"/>
  </sortState>
  <mergeCells count="30">
    <mergeCell ref="D43:G43"/>
    <mergeCell ref="D44:G44"/>
    <mergeCell ref="D45:G45"/>
    <mergeCell ref="D42:G42"/>
    <mergeCell ref="D33:G33"/>
    <mergeCell ref="D34:G34"/>
    <mergeCell ref="D35:G35"/>
    <mergeCell ref="C39:H39"/>
    <mergeCell ref="D41:G41"/>
    <mergeCell ref="D32:G32"/>
    <mergeCell ref="D36:G36"/>
    <mergeCell ref="F16:G16"/>
    <mergeCell ref="D31:G31"/>
    <mergeCell ref="D25:G25"/>
    <mergeCell ref="D26:G26"/>
    <mergeCell ref="D27:G27"/>
    <mergeCell ref="D28:G28"/>
    <mergeCell ref="D29:G29"/>
    <mergeCell ref="U8:V8"/>
    <mergeCell ref="C8:H8"/>
    <mergeCell ref="C15:E15"/>
    <mergeCell ref="C20:H20"/>
    <mergeCell ref="D30:G30"/>
    <mergeCell ref="C17:E17"/>
    <mergeCell ref="F15:G15"/>
    <mergeCell ref="D22:G22"/>
    <mergeCell ref="D23:G23"/>
    <mergeCell ref="D24:G24"/>
    <mergeCell ref="F14:G14"/>
    <mergeCell ref="C11:G11"/>
  </mergeCells>
  <phoneticPr fontId="0" type="noConversion"/>
  <dataValidations count="3">
    <dataValidation type="date" allowBlank="1" showInputMessage="1" showErrorMessage="1" error="Pode escolhar uma data emissão entre 01/01/2011 e hoje." promptTitle="Limite de datas" sqref="F15:G15" xr:uid="{00000000-0002-0000-0100-000000000000}">
      <formula1>40544</formula1>
      <formula2>NOW()</formula2>
    </dataValidation>
    <dataValidation type="whole" allowBlank="1" showInputMessage="1" showErrorMessage="1" error="Valores possíveis: de 2000 até o ano atual._x000a_(4 dígitos numéricos)" sqref="F17" xr:uid="{00000000-0002-0000-0100-000001000000}">
      <formula1>2000</formula1>
      <formula2>YEAR(NOW())</formula2>
    </dataValidation>
    <dataValidation type="list" allowBlank="1" showInputMessage="1" showErrorMessage="1" sqref="O12:P116" xr:uid="{00000000-0002-0000-0100-000002000000}">
      <formula1>$C$24:$C$36</formula1>
    </dataValidation>
  </dataValidations>
  <pageMargins left="0.75" right="0.75" top="1" bottom="1" header="0" footer="0"/>
  <pageSetup paperSize="9" orientation="portrait" r:id="rId1"/>
  <headerFooter alignWithMargins="0"/>
  <ignoredErrors>
    <ignoredError sqref="Q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3</xdr:col>
                    <xdr:colOff>304800</xdr:colOff>
                    <xdr:row>9</xdr:row>
                    <xdr:rowOff>0</xdr:rowOff>
                  </from>
                  <to>
                    <xdr:col>7</xdr:col>
                    <xdr:colOff>9525</xdr:colOff>
                    <xdr:row>10</xdr:row>
                    <xdr:rowOff>0</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3</xdr:col>
                    <xdr:colOff>295275</xdr:colOff>
                    <xdr:row>10</xdr:row>
                    <xdr:rowOff>47625</xdr:rowOff>
                  </from>
                  <to>
                    <xdr:col>12</xdr:col>
                    <xdr:colOff>285750</xdr:colOff>
                    <xdr:row>10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CE87-425D-4D59-9A9C-8A6036303B60}">
  <dimension ref="B1:D20"/>
  <sheetViews>
    <sheetView showGridLines="0" topLeftCell="A7" workbookViewId="0">
      <selection activeCell="D10" sqref="D10"/>
    </sheetView>
  </sheetViews>
  <sheetFormatPr defaultRowHeight="12.75" x14ac:dyDescent="0.2"/>
  <cols>
    <col min="1" max="1" width="1.5703125" customWidth="1"/>
    <col min="2" max="2" width="10.7109375" customWidth="1"/>
    <col min="3" max="3" width="52.7109375" customWidth="1"/>
    <col min="4" max="4" width="181.42578125" customWidth="1"/>
  </cols>
  <sheetData>
    <row r="1" spans="2:4" ht="6" customHeight="1" thickBot="1" x14ac:dyDescent="0.25"/>
    <row r="2" spans="2:4" s="225" customFormat="1" ht="18" customHeight="1" thickBot="1" x14ac:dyDescent="0.25">
      <c r="B2" s="261" t="s">
        <v>482</v>
      </c>
      <c r="C2" s="262" t="s">
        <v>615</v>
      </c>
      <c r="D2" s="263" t="s">
        <v>623</v>
      </c>
    </row>
    <row r="3" spans="2:4" ht="17.45" customHeight="1" x14ac:dyDescent="0.2">
      <c r="B3" s="259"/>
      <c r="C3" s="260" t="s">
        <v>658</v>
      </c>
      <c r="D3" s="258" t="s">
        <v>659</v>
      </c>
    </row>
    <row r="4" spans="2:4" ht="41.25" customHeight="1" x14ac:dyDescent="0.2">
      <c r="B4" s="247" t="s">
        <v>36</v>
      </c>
      <c r="C4" s="246" t="str">
        <f>VLOOKUP(B4&amp;"00000000",Tabela1[[IF]:[Designação Eco Rec]],2,FALSE)</f>
        <v>IMPOSTOS DIRETOS</v>
      </c>
      <c r="D4" s="248" t="s">
        <v>632</v>
      </c>
    </row>
    <row r="5" spans="2:4" ht="28.5" customHeight="1" x14ac:dyDescent="0.2">
      <c r="B5" s="247" t="s">
        <v>37</v>
      </c>
      <c r="C5" s="246" t="str">
        <f>VLOOKUP(B5&amp;"00000000",Tabela1[[IF]:[Designação Eco Rec]],2,FALSE)</f>
        <v>INDIRETOS</v>
      </c>
      <c r="D5" s="248" t="s">
        <v>616</v>
      </c>
    </row>
    <row r="6" spans="2:4" ht="30" customHeight="1" x14ac:dyDescent="0.2">
      <c r="B6" s="247" t="s">
        <v>38</v>
      </c>
      <c r="C6" s="246" t="str">
        <f>VLOOKUP(B6&amp;"00000000",Tabela1[[IF]:[Designação Eco Rec]],2,FALSE)</f>
        <v>CONTRIBUIÇÕES PARA A SEG. SOCIAL, A CGA E A ADSE</v>
      </c>
      <c r="D6" s="248" t="s">
        <v>617</v>
      </c>
    </row>
    <row r="7" spans="2:4" ht="39.75" customHeight="1" x14ac:dyDescent="0.2">
      <c r="B7" s="247" t="s">
        <v>39</v>
      </c>
      <c r="C7" s="246" t="str">
        <f>VLOOKUP(B7&amp;"00000000",Tabela1[[IF]:[Designação Eco Rec]],2,FALSE)</f>
        <v>TAXAS, MULTAS E OUTRAS PENALIDADES</v>
      </c>
      <c r="D7" s="248" t="s">
        <v>618</v>
      </c>
    </row>
    <row r="8" spans="2:4" ht="27.75" customHeight="1" x14ac:dyDescent="0.2">
      <c r="B8" s="247" t="s">
        <v>40</v>
      </c>
      <c r="C8" s="246" t="str">
        <f>VLOOKUP(B8&amp;"00000000",Tabela1[[IF]:[Designação Eco Rec]],2,FALSE)</f>
        <v>RENDIMENTOS DE PROPRIEDADE</v>
      </c>
      <c r="D8" s="248" t="s">
        <v>619</v>
      </c>
    </row>
    <row r="9" spans="2:4" ht="27" customHeight="1" x14ac:dyDescent="0.2">
      <c r="B9" s="247" t="s">
        <v>41</v>
      </c>
      <c r="C9" s="246" t="str">
        <f>VLOOKUP(B9&amp;"00000000",Tabela1[[IF]:[Designação Eco Rec]],2,FALSE)</f>
        <v>TRANSFERÊNCIAS CORRENTES</v>
      </c>
      <c r="D9" s="248" t="s">
        <v>620</v>
      </c>
    </row>
    <row r="10" spans="2:4" ht="39.75" customHeight="1" x14ac:dyDescent="0.2">
      <c r="B10" s="247" t="s">
        <v>42</v>
      </c>
      <c r="C10" s="246" t="str">
        <f>VLOOKUP(B10&amp;"00000000",Tabela1[[IF]:[Designação Eco Rec]],2,FALSE)</f>
        <v>VENDA DE BENS E SERVIÇOS CORRENTES</v>
      </c>
      <c r="D10" s="248" t="s">
        <v>621</v>
      </c>
    </row>
    <row r="11" spans="2:4" ht="17.45" customHeight="1" thickBot="1" x14ac:dyDescent="0.25">
      <c r="B11" s="249" t="s">
        <v>43</v>
      </c>
      <c r="C11" s="250" t="str">
        <f>VLOOKUP(B11&amp;"00000000",Tabela1[[IF]:[Designação Eco Rec]],2,FALSE)</f>
        <v>OUTRAS RECEITAS CORRENTES</v>
      </c>
      <c r="D11" s="251" t="s">
        <v>622</v>
      </c>
    </row>
    <row r="12" spans="2:4" ht="17.45" customHeight="1" x14ac:dyDescent="0.2">
      <c r="B12" s="255"/>
      <c r="C12" s="256" t="s">
        <v>657</v>
      </c>
      <c r="D12" s="257" t="s">
        <v>660</v>
      </c>
    </row>
    <row r="13" spans="2:4" ht="27" customHeight="1" x14ac:dyDescent="0.2">
      <c r="B13" s="247" t="s">
        <v>44</v>
      </c>
      <c r="C13" s="246" t="str">
        <f>VLOOKUP(B13&amp;"00000000",Tabela1[[IF]:[Designação Eco Rec]],2,FALSE)</f>
        <v>VENDA DE BENS DE INVESTIMENTO</v>
      </c>
      <c r="D13" s="248" t="s">
        <v>624</v>
      </c>
    </row>
    <row r="14" spans="2:4" ht="51.75" customHeight="1" x14ac:dyDescent="0.2">
      <c r="B14" s="247" t="s">
        <v>45</v>
      </c>
      <c r="C14" s="246" t="str">
        <f>VLOOKUP(B14&amp;"00000000",Tabela1[[IF]:[Designação Eco Rec]],2,FALSE)</f>
        <v>TRANSFERÊNCIAS DE CAPITAL</v>
      </c>
      <c r="D14" s="248" t="s">
        <v>625</v>
      </c>
    </row>
    <row r="15" spans="2:4" ht="40.5" customHeight="1" x14ac:dyDescent="0.2">
      <c r="B15" s="247" t="s">
        <v>288</v>
      </c>
      <c r="C15" s="246" t="str">
        <f>VLOOKUP(B15&amp;"00000000",Tabela1[[IF]:[Designação Eco Rec]],2,FALSE)</f>
        <v>ACTIVOS FINANCEIROS</v>
      </c>
      <c r="D15" s="248" t="s">
        <v>626</v>
      </c>
    </row>
    <row r="16" spans="2:4" ht="40.5" customHeight="1" x14ac:dyDescent="0.2">
      <c r="B16" s="247" t="s">
        <v>290</v>
      </c>
      <c r="C16" s="246" t="str">
        <f>VLOOKUP(B16&amp;"00000000",Tabela1[[IF]:[Designação Eco Rec]],2,FALSE)</f>
        <v>PASSIVOS FINANCEIROS</v>
      </c>
      <c r="D16" s="248" t="s">
        <v>627</v>
      </c>
    </row>
    <row r="17" spans="2:4" ht="17.45" customHeight="1" x14ac:dyDescent="0.2">
      <c r="B17" s="247" t="s">
        <v>291</v>
      </c>
      <c r="C17" s="246" t="str">
        <f>VLOOKUP(B17&amp;"00000000",Tabela1[[IF]:[Designação Eco Rec]],2,FALSE)</f>
        <v>OUTRAS RECEITAS DE CAPITAL</v>
      </c>
      <c r="D17" s="248" t="s">
        <v>628</v>
      </c>
    </row>
    <row r="18" spans="2:4" ht="39.75" customHeight="1" x14ac:dyDescent="0.2">
      <c r="B18" s="247" t="s">
        <v>383</v>
      </c>
      <c r="C18" s="246" t="str">
        <f>VLOOKUP(B18&amp;"00000000",Tabela1[[IF]:[Designação Eco Rec]],2,FALSE)</f>
        <v>REPOSIÇÕES NÃO ABATIDAS NOS PAGAMENTOS</v>
      </c>
      <c r="D18" s="248" t="s">
        <v>629</v>
      </c>
    </row>
    <row r="19" spans="2:4" ht="28.5" customHeight="1" thickBot="1" x14ac:dyDescent="0.25">
      <c r="B19" s="249" t="s">
        <v>415</v>
      </c>
      <c r="C19" s="250" t="str">
        <f>VLOOKUP(B19&amp;"00000000",Tabela1[[IF]:[Designação Eco Rec]],2,FALSE)</f>
        <v>SALDO DA GERÊNCIA ANTERIOR</v>
      </c>
      <c r="D19" s="251" t="s">
        <v>630</v>
      </c>
    </row>
    <row r="20" spans="2:4" ht="17.45" customHeight="1" thickBot="1" x14ac:dyDescent="0.25">
      <c r="B20" s="252" t="s">
        <v>330</v>
      </c>
      <c r="C20" s="253" t="str">
        <f>VLOOKUP(B20&amp;"00000000",Tabela1[[IF]:[Designação Eco Rec]],2,FALSE)</f>
        <v>OPERAÇÕES EXTRAORÇAMENTAIS</v>
      </c>
      <c r="D20" s="254" t="s">
        <v>631</v>
      </c>
    </row>
  </sheetData>
  <sheetProtection algorithmName="SHA-512" hashValue="eojK5WnsXK7MYVwL2PXfpAnRqx54BxrW9X0JTfQPBiDjxX7w7070lWb73aEj6FqraFy2ScuBMDnjs2Ogx7rTnA==" saltValue="Ujs3hD4aMKs7LrBRSMXL3A==" spinCount="100000" sheet="1" objects="1" scenarios="1" selectLockedCells="1" selectUnlockedCells="1"/>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EE998-A3A6-4615-AB50-DA341811E3A7}">
  <dimension ref="A1:BC386"/>
  <sheetViews>
    <sheetView showGridLines="0" showRowColHeaders="0" workbookViewId="0">
      <selection activeCell="A2" sqref="A2"/>
    </sheetView>
  </sheetViews>
  <sheetFormatPr defaultRowHeight="18" customHeight="1" x14ac:dyDescent="0.2"/>
  <cols>
    <col min="1" max="1" width="9.85546875" style="226" customWidth="1"/>
    <col min="2" max="2" width="8.140625" style="226" customWidth="1"/>
    <col min="3" max="3" width="8" style="226" customWidth="1"/>
    <col min="4" max="4" width="9.140625" style="226" customWidth="1"/>
    <col min="5" max="5" width="7.140625" style="226" customWidth="1"/>
    <col min="6" max="6" width="11.28515625" style="226" customWidth="1"/>
    <col min="7" max="7" width="75.7109375" style="228" bestFit="1" customWidth="1"/>
    <col min="8" max="55" width="9.140625" style="111"/>
    <col min="56" max="16384" width="9.140625" style="228"/>
  </cols>
  <sheetData>
    <row r="1" spans="1:55" s="226" customFormat="1" ht="18" customHeight="1" x14ac:dyDescent="0.2">
      <c r="A1" s="227" t="s">
        <v>482</v>
      </c>
      <c r="B1" s="226" t="s">
        <v>1</v>
      </c>
      <c r="C1" s="226" t="s">
        <v>2</v>
      </c>
      <c r="D1" s="226" t="s">
        <v>355</v>
      </c>
      <c r="E1" s="226" t="s">
        <v>354</v>
      </c>
      <c r="F1" s="227" t="s">
        <v>587</v>
      </c>
      <c r="G1" s="226" t="s">
        <v>356</v>
      </c>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row>
    <row r="2" spans="1:55" ht="18" customHeight="1" x14ac:dyDescent="0.2">
      <c r="A2" s="229" t="s">
        <v>36</v>
      </c>
      <c r="B2" s="229" t="s">
        <v>357</v>
      </c>
      <c r="C2" s="229" t="s">
        <v>357</v>
      </c>
      <c r="D2" s="229" t="s">
        <v>357</v>
      </c>
      <c r="E2" s="229" t="s">
        <v>357</v>
      </c>
      <c r="F2" s="229" t="s">
        <v>793</v>
      </c>
      <c r="G2" s="230" t="s">
        <v>495</v>
      </c>
    </row>
    <row r="3" spans="1:55" ht="18" customHeight="1" x14ac:dyDescent="0.2">
      <c r="A3" s="270" t="s">
        <v>36</v>
      </c>
      <c r="B3" s="270" t="s">
        <v>36</v>
      </c>
      <c r="C3" s="270" t="s">
        <v>357</v>
      </c>
      <c r="D3" s="270" t="s">
        <v>357</v>
      </c>
      <c r="E3" s="270" t="s">
        <v>357</v>
      </c>
      <c r="F3" s="270" t="s">
        <v>794</v>
      </c>
      <c r="G3" s="272" t="s">
        <v>496</v>
      </c>
    </row>
    <row r="4" spans="1:55" ht="18" customHeight="1" x14ac:dyDescent="0.2">
      <c r="A4" s="266" t="s">
        <v>36</v>
      </c>
      <c r="B4" s="266" t="s">
        <v>36</v>
      </c>
      <c r="C4" s="266" t="s">
        <v>36</v>
      </c>
      <c r="D4" s="266" t="s">
        <v>357</v>
      </c>
      <c r="E4" s="266" t="s">
        <v>357</v>
      </c>
      <c r="F4" s="267" t="s">
        <v>795</v>
      </c>
      <c r="G4" s="268" t="s">
        <v>358</v>
      </c>
    </row>
    <row r="5" spans="1:55" ht="18" customHeight="1" x14ac:dyDescent="0.2">
      <c r="A5" s="266" t="s">
        <v>36</v>
      </c>
      <c r="B5" s="266" t="s">
        <v>36</v>
      </c>
      <c r="C5" s="266" t="s">
        <v>37</v>
      </c>
      <c r="D5" s="266" t="s">
        <v>357</v>
      </c>
      <c r="E5" s="266" t="s">
        <v>357</v>
      </c>
      <c r="F5" s="267" t="s">
        <v>796</v>
      </c>
      <c r="G5" s="268" t="s">
        <v>359</v>
      </c>
    </row>
    <row r="6" spans="1:55" ht="18" customHeight="1" x14ac:dyDescent="0.2">
      <c r="A6" s="270" t="s">
        <v>36</v>
      </c>
      <c r="B6" s="270" t="s">
        <v>37</v>
      </c>
      <c r="C6" s="270" t="s">
        <v>357</v>
      </c>
      <c r="D6" s="270" t="s">
        <v>357</v>
      </c>
      <c r="E6" s="270" t="s">
        <v>357</v>
      </c>
      <c r="F6" s="270" t="s">
        <v>797</v>
      </c>
      <c r="G6" s="272" t="s">
        <v>497</v>
      </c>
    </row>
    <row r="7" spans="1:55" ht="18" customHeight="1" x14ac:dyDescent="0.2">
      <c r="A7" s="266" t="s">
        <v>36</v>
      </c>
      <c r="B7" s="266" t="s">
        <v>37</v>
      </c>
      <c r="C7" s="266" t="s">
        <v>36</v>
      </c>
      <c r="D7" s="266" t="s">
        <v>357</v>
      </c>
      <c r="E7" s="266" t="s">
        <v>357</v>
      </c>
      <c r="F7" s="267" t="s">
        <v>798</v>
      </c>
      <c r="G7" s="268" t="s">
        <v>361</v>
      </c>
    </row>
    <row r="8" spans="1:55" ht="18" customHeight="1" x14ac:dyDescent="0.2">
      <c r="A8" s="266" t="s">
        <v>36</v>
      </c>
      <c r="B8" s="266" t="s">
        <v>37</v>
      </c>
      <c r="C8" s="266" t="s">
        <v>41</v>
      </c>
      <c r="D8" s="266" t="s">
        <v>357</v>
      </c>
      <c r="E8" s="266" t="s">
        <v>357</v>
      </c>
      <c r="F8" s="267" t="s">
        <v>799</v>
      </c>
      <c r="G8" s="268" t="s">
        <v>363</v>
      </c>
    </row>
    <row r="9" spans="1:55" ht="18" customHeight="1" x14ac:dyDescent="0.2">
      <c r="A9" s="266" t="s">
        <v>36</v>
      </c>
      <c r="B9" s="266" t="s">
        <v>37</v>
      </c>
      <c r="C9" s="266" t="s">
        <v>42</v>
      </c>
      <c r="D9" s="266" t="s">
        <v>357</v>
      </c>
      <c r="E9" s="266" t="s">
        <v>357</v>
      </c>
      <c r="F9" s="267" t="s">
        <v>800</v>
      </c>
      <c r="G9" s="268" t="s">
        <v>362</v>
      </c>
    </row>
    <row r="10" spans="1:55" ht="18" customHeight="1" x14ac:dyDescent="0.2">
      <c r="A10" s="266" t="s">
        <v>36</v>
      </c>
      <c r="B10" s="266" t="s">
        <v>37</v>
      </c>
      <c r="C10" s="266" t="s">
        <v>329</v>
      </c>
      <c r="D10" s="266" t="s">
        <v>357</v>
      </c>
      <c r="E10" s="266" t="s">
        <v>357</v>
      </c>
      <c r="F10" s="267" t="s">
        <v>801</v>
      </c>
      <c r="G10" s="268" t="s">
        <v>360</v>
      </c>
    </row>
    <row r="11" spans="1:55" ht="18" customHeight="1" x14ac:dyDescent="0.2">
      <c r="A11" s="231" t="s">
        <v>37</v>
      </c>
      <c r="B11" s="231" t="s">
        <v>357</v>
      </c>
      <c r="C11" s="231" t="s">
        <v>357</v>
      </c>
      <c r="D11" s="231" t="s">
        <v>357</v>
      </c>
      <c r="E11" s="231" t="s">
        <v>357</v>
      </c>
      <c r="F11" s="229" t="s">
        <v>802</v>
      </c>
      <c r="G11" s="230" t="s">
        <v>498</v>
      </c>
    </row>
    <row r="12" spans="1:55" ht="18" customHeight="1" x14ac:dyDescent="0.2">
      <c r="A12" s="271" t="s">
        <v>37</v>
      </c>
      <c r="B12" s="271" t="s">
        <v>36</v>
      </c>
      <c r="C12" s="271" t="s">
        <v>357</v>
      </c>
      <c r="D12" s="271" t="s">
        <v>357</v>
      </c>
      <c r="E12" s="271" t="s">
        <v>357</v>
      </c>
      <c r="F12" s="270" t="s">
        <v>803</v>
      </c>
      <c r="G12" s="272" t="s">
        <v>499</v>
      </c>
    </row>
    <row r="13" spans="1:55" ht="18" customHeight="1" x14ac:dyDescent="0.2">
      <c r="A13" s="266" t="s">
        <v>37</v>
      </c>
      <c r="B13" s="266" t="s">
        <v>36</v>
      </c>
      <c r="C13" s="266" t="s">
        <v>36</v>
      </c>
      <c r="D13" s="266" t="s">
        <v>357</v>
      </c>
      <c r="E13" s="266" t="s">
        <v>357</v>
      </c>
      <c r="F13" s="267" t="s">
        <v>804</v>
      </c>
      <c r="G13" s="268" t="s">
        <v>369</v>
      </c>
    </row>
    <row r="14" spans="1:55" ht="18" customHeight="1" x14ac:dyDescent="0.2">
      <c r="A14" s="266" t="s">
        <v>37</v>
      </c>
      <c r="B14" s="266" t="s">
        <v>36</v>
      </c>
      <c r="C14" s="266" t="s">
        <v>37</v>
      </c>
      <c r="D14" s="266" t="s">
        <v>357</v>
      </c>
      <c r="E14" s="266" t="s">
        <v>357</v>
      </c>
      <c r="F14" s="267" t="s">
        <v>805</v>
      </c>
      <c r="G14" s="268" t="s">
        <v>370</v>
      </c>
    </row>
    <row r="15" spans="1:55" ht="18" customHeight="1" x14ac:dyDescent="0.2">
      <c r="A15" s="266" t="s">
        <v>37</v>
      </c>
      <c r="B15" s="266" t="s">
        <v>36</v>
      </c>
      <c r="C15" s="266" t="s">
        <v>38</v>
      </c>
      <c r="D15" s="266" t="s">
        <v>357</v>
      </c>
      <c r="E15" s="266" t="s">
        <v>357</v>
      </c>
      <c r="F15" s="267" t="s">
        <v>806</v>
      </c>
      <c r="G15" s="268" t="s">
        <v>364</v>
      </c>
    </row>
    <row r="16" spans="1:55" ht="18" customHeight="1" x14ac:dyDescent="0.2">
      <c r="A16" s="266" t="s">
        <v>37</v>
      </c>
      <c r="B16" s="266" t="s">
        <v>36</v>
      </c>
      <c r="C16" s="266" t="s">
        <v>39</v>
      </c>
      <c r="D16" s="266" t="s">
        <v>357</v>
      </c>
      <c r="E16" s="266" t="s">
        <v>357</v>
      </c>
      <c r="F16" s="267" t="s">
        <v>807</v>
      </c>
      <c r="G16" s="268" t="s">
        <v>371</v>
      </c>
    </row>
    <row r="17" spans="1:7" ht="18" customHeight="1" x14ac:dyDescent="0.2">
      <c r="A17" s="266" t="s">
        <v>37</v>
      </c>
      <c r="B17" s="266" t="s">
        <v>36</v>
      </c>
      <c r="C17" s="266" t="s">
        <v>40</v>
      </c>
      <c r="D17" s="266" t="s">
        <v>357</v>
      </c>
      <c r="E17" s="266" t="s">
        <v>357</v>
      </c>
      <c r="F17" s="267" t="s">
        <v>808</v>
      </c>
      <c r="G17" s="268" t="s">
        <v>366</v>
      </c>
    </row>
    <row r="18" spans="1:7" ht="18" customHeight="1" x14ac:dyDescent="0.2">
      <c r="A18" s="266" t="s">
        <v>37</v>
      </c>
      <c r="B18" s="266" t="s">
        <v>36</v>
      </c>
      <c r="C18" s="266" t="s">
        <v>329</v>
      </c>
      <c r="D18" s="266" t="s">
        <v>357</v>
      </c>
      <c r="E18" s="266" t="s">
        <v>357</v>
      </c>
      <c r="F18" s="267" t="s">
        <v>809</v>
      </c>
      <c r="G18" s="268" t="s">
        <v>374</v>
      </c>
    </row>
    <row r="19" spans="1:7" ht="18" customHeight="1" x14ac:dyDescent="0.2">
      <c r="A19" s="271" t="s">
        <v>37</v>
      </c>
      <c r="B19" s="270" t="s">
        <v>37</v>
      </c>
      <c r="C19" s="271" t="s">
        <v>357</v>
      </c>
      <c r="D19" s="271" t="s">
        <v>357</v>
      </c>
      <c r="E19" s="271" t="s">
        <v>357</v>
      </c>
      <c r="F19" s="270" t="s">
        <v>810</v>
      </c>
      <c r="G19" s="272" t="s">
        <v>377</v>
      </c>
    </row>
    <row r="20" spans="1:7" ht="18" customHeight="1" x14ac:dyDescent="0.2">
      <c r="A20" s="266" t="s">
        <v>37</v>
      </c>
      <c r="B20" s="266" t="s">
        <v>37</v>
      </c>
      <c r="C20" s="266" t="s">
        <v>36</v>
      </c>
      <c r="D20" s="266" t="s">
        <v>357</v>
      </c>
      <c r="E20" s="266" t="s">
        <v>357</v>
      </c>
      <c r="F20" s="267" t="s">
        <v>811</v>
      </c>
      <c r="G20" s="268" t="s">
        <v>375</v>
      </c>
    </row>
    <row r="21" spans="1:7" ht="18" customHeight="1" x14ac:dyDescent="0.2">
      <c r="A21" s="266" t="s">
        <v>37</v>
      </c>
      <c r="B21" s="266" t="s">
        <v>37</v>
      </c>
      <c r="C21" s="266" t="s">
        <v>37</v>
      </c>
      <c r="D21" s="266" t="s">
        <v>357</v>
      </c>
      <c r="E21" s="266" t="s">
        <v>357</v>
      </c>
      <c r="F21" s="267" t="s">
        <v>812</v>
      </c>
      <c r="G21" s="268" t="s">
        <v>368</v>
      </c>
    </row>
    <row r="22" spans="1:7" ht="18" customHeight="1" x14ac:dyDescent="0.2">
      <c r="A22" s="266" t="s">
        <v>37</v>
      </c>
      <c r="B22" s="266" t="s">
        <v>37</v>
      </c>
      <c r="C22" s="266" t="s">
        <v>38</v>
      </c>
      <c r="D22" s="266" t="s">
        <v>357</v>
      </c>
      <c r="E22" s="266" t="s">
        <v>357</v>
      </c>
      <c r="F22" s="267" t="s">
        <v>813</v>
      </c>
      <c r="G22" s="268" t="s">
        <v>372</v>
      </c>
    </row>
    <row r="23" spans="1:7" ht="18" customHeight="1" x14ac:dyDescent="0.2">
      <c r="A23" s="266" t="s">
        <v>37</v>
      </c>
      <c r="B23" s="266" t="s">
        <v>37</v>
      </c>
      <c r="C23" s="266" t="s">
        <v>39</v>
      </c>
      <c r="D23" s="266" t="s">
        <v>357</v>
      </c>
      <c r="E23" s="266" t="s">
        <v>357</v>
      </c>
      <c r="F23" s="267" t="s">
        <v>814</v>
      </c>
      <c r="G23" s="268" t="s">
        <v>365</v>
      </c>
    </row>
    <row r="24" spans="1:7" ht="18" customHeight="1" x14ac:dyDescent="0.2">
      <c r="A24" s="266" t="s">
        <v>37</v>
      </c>
      <c r="B24" s="266" t="s">
        <v>37</v>
      </c>
      <c r="C24" s="266" t="s">
        <v>40</v>
      </c>
      <c r="D24" s="266" t="s">
        <v>357</v>
      </c>
      <c r="E24" s="266" t="s">
        <v>357</v>
      </c>
      <c r="F24" s="267" t="s">
        <v>815</v>
      </c>
      <c r="G24" s="268" t="s">
        <v>1088</v>
      </c>
    </row>
    <row r="25" spans="1:7" ht="18" customHeight="1" x14ac:dyDescent="0.2">
      <c r="A25" s="266" t="s">
        <v>37</v>
      </c>
      <c r="B25" s="266" t="s">
        <v>37</v>
      </c>
      <c r="C25" s="266" t="s">
        <v>329</v>
      </c>
      <c r="D25" s="266" t="s">
        <v>357</v>
      </c>
      <c r="E25" s="266" t="s">
        <v>357</v>
      </c>
      <c r="F25" s="267" t="s">
        <v>816</v>
      </c>
      <c r="G25" s="268" t="s">
        <v>373</v>
      </c>
    </row>
    <row r="26" spans="1:7" ht="18" customHeight="1" x14ac:dyDescent="0.2">
      <c r="A26" s="231" t="s">
        <v>38</v>
      </c>
      <c r="B26" s="231" t="s">
        <v>357</v>
      </c>
      <c r="C26" s="231" t="s">
        <v>357</v>
      </c>
      <c r="D26" s="231" t="s">
        <v>357</v>
      </c>
      <c r="E26" s="231" t="s">
        <v>357</v>
      </c>
      <c r="F26" s="229" t="s">
        <v>817</v>
      </c>
      <c r="G26" s="230" t="s">
        <v>483</v>
      </c>
    </row>
    <row r="27" spans="1:7" ht="18" customHeight="1" x14ac:dyDescent="0.2">
      <c r="A27" s="271" t="s">
        <v>38</v>
      </c>
      <c r="B27" s="271" t="s">
        <v>38</v>
      </c>
      <c r="C27" s="271" t="s">
        <v>357</v>
      </c>
      <c r="D27" s="271" t="s">
        <v>357</v>
      </c>
      <c r="E27" s="271" t="s">
        <v>357</v>
      </c>
      <c r="F27" s="270" t="s">
        <v>818</v>
      </c>
      <c r="G27" s="272" t="s">
        <v>500</v>
      </c>
    </row>
    <row r="28" spans="1:7" ht="18" customHeight="1" x14ac:dyDescent="0.2">
      <c r="A28" s="266" t="s">
        <v>38</v>
      </c>
      <c r="B28" s="266" t="s">
        <v>38</v>
      </c>
      <c r="C28" s="266" t="s">
        <v>37</v>
      </c>
      <c r="D28" s="266" t="s">
        <v>357</v>
      </c>
      <c r="E28" s="266" t="s">
        <v>357</v>
      </c>
      <c r="F28" s="267" t="s">
        <v>819</v>
      </c>
      <c r="G28" s="268" t="s">
        <v>376</v>
      </c>
    </row>
    <row r="29" spans="1:7" ht="18" customHeight="1" x14ac:dyDescent="0.2">
      <c r="A29" s="266" t="s">
        <v>38</v>
      </c>
      <c r="B29" s="266" t="s">
        <v>38</v>
      </c>
      <c r="C29" s="266" t="s">
        <v>329</v>
      </c>
      <c r="D29" s="266" t="s">
        <v>357</v>
      </c>
      <c r="E29" s="266" t="s">
        <v>357</v>
      </c>
      <c r="F29" s="267" t="s">
        <v>820</v>
      </c>
      <c r="G29" s="268" t="s">
        <v>377</v>
      </c>
    </row>
    <row r="30" spans="1:7" ht="18" customHeight="1" x14ac:dyDescent="0.2">
      <c r="A30" s="229" t="s">
        <v>39</v>
      </c>
      <c r="B30" s="231" t="s">
        <v>357</v>
      </c>
      <c r="C30" s="231" t="s">
        <v>357</v>
      </c>
      <c r="D30" s="231" t="s">
        <v>357</v>
      </c>
      <c r="E30" s="231" t="s">
        <v>357</v>
      </c>
      <c r="F30" s="229" t="s">
        <v>821</v>
      </c>
      <c r="G30" s="230" t="s">
        <v>484</v>
      </c>
    </row>
    <row r="31" spans="1:7" ht="18" customHeight="1" x14ac:dyDescent="0.2">
      <c r="A31" s="271" t="s">
        <v>39</v>
      </c>
      <c r="B31" s="271" t="s">
        <v>36</v>
      </c>
      <c r="C31" s="271" t="s">
        <v>357</v>
      </c>
      <c r="D31" s="271" t="s">
        <v>357</v>
      </c>
      <c r="E31" s="271" t="s">
        <v>357</v>
      </c>
      <c r="F31" s="270" t="s">
        <v>822</v>
      </c>
      <c r="G31" s="272" t="s">
        <v>501</v>
      </c>
    </row>
    <row r="32" spans="1:7" ht="18" customHeight="1" x14ac:dyDescent="0.2">
      <c r="A32" s="266" t="s">
        <v>39</v>
      </c>
      <c r="B32" s="266" t="s">
        <v>36</v>
      </c>
      <c r="C32" s="266" t="s">
        <v>36</v>
      </c>
      <c r="D32" s="266" t="s">
        <v>357</v>
      </c>
      <c r="E32" s="266" t="s">
        <v>357</v>
      </c>
      <c r="F32" s="267" t="s">
        <v>823</v>
      </c>
      <c r="G32" s="268" t="s">
        <v>382</v>
      </c>
    </row>
    <row r="33" spans="1:7" ht="18" customHeight="1" x14ac:dyDescent="0.2">
      <c r="A33" s="266" t="s">
        <v>39</v>
      </c>
      <c r="B33" s="266" t="s">
        <v>36</v>
      </c>
      <c r="C33" s="266" t="s">
        <v>37</v>
      </c>
      <c r="D33" s="266" t="s">
        <v>357</v>
      </c>
      <c r="E33" s="266" t="s">
        <v>357</v>
      </c>
      <c r="F33" s="267" t="s">
        <v>824</v>
      </c>
      <c r="G33" s="268" t="s">
        <v>378</v>
      </c>
    </row>
    <row r="34" spans="1:7" ht="18" customHeight="1" x14ac:dyDescent="0.2">
      <c r="A34" s="266" t="s">
        <v>39</v>
      </c>
      <c r="B34" s="266" t="s">
        <v>36</v>
      </c>
      <c r="C34" s="266" t="s">
        <v>38</v>
      </c>
      <c r="D34" s="266" t="s">
        <v>357</v>
      </c>
      <c r="E34" s="266" t="s">
        <v>357</v>
      </c>
      <c r="F34" s="267" t="s">
        <v>825</v>
      </c>
      <c r="G34" s="268" t="s">
        <v>397</v>
      </c>
    </row>
    <row r="35" spans="1:7" ht="18" customHeight="1" x14ac:dyDescent="0.2">
      <c r="A35" s="266" t="s">
        <v>39</v>
      </c>
      <c r="B35" s="266" t="s">
        <v>36</v>
      </c>
      <c r="C35" s="266" t="s">
        <v>39</v>
      </c>
      <c r="D35" s="266" t="s">
        <v>357</v>
      </c>
      <c r="E35" s="266" t="s">
        <v>357</v>
      </c>
      <c r="F35" s="267" t="s">
        <v>826</v>
      </c>
      <c r="G35" s="268" t="s">
        <v>392</v>
      </c>
    </row>
    <row r="36" spans="1:7" ht="18" customHeight="1" x14ac:dyDescent="0.2">
      <c r="A36" s="266" t="s">
        <v>39</v>
      </c>
      <c r="B36" s="266" t="s">
        <v>36</v>
      </c>
      <c r="C36" s="266" t="s">
        <v>40</v>
      </c>
      <c r="D36" s="266" t="s">
        <v>357</v>
      </c>
      <c r="E36" s="266" t="s">
        <v>357</v>
      </c>
      <c r="F36" s="267" t="s">
        <v>827</v>
      </c>
      <c r="G36" s="268" t="s">
        <v>398</v>
      </c>
    </row>
    <row r="37" spans="1:7" ht="18" customHeight="1" x14ac:dyDescent="0.2">
      <c r="A37" s="266" t="s">
        <v>39</v>
      </c>
      <c r="B37" s="266" t="s">
        <v>36</v>
      </c>
      <c r="C37" s="266" t="s">
        <v>41</v>
      </c>
      <c r="D37" s="266" t="s">
        <v>357</v>
      </c>
      <c r="E37" s="266" t="s">
        <v>357</v>
      </c>
      <c r="F37" s="267" t="s">
        <v>828</v>
      </c>
      <c r="G37" s="268" t="s">
        <v>410</v>
      </c>
    </row>
    <row r="38" spans="1:7" ht="18" customHeight="1" x14ac:dyDescent="0.2">
      <c r="A38" s="266" t="s">
        <v>39</v>
      </c>
      <c r="B38" s="266" t="s">
        <v>36</v>
      </c>
      <c r="C38" s="266" t="s">
        <v>42</v>
      </c>
      <c r="D38" s="266" t="s">
        <v>357</v>
      </c>
      <c r="E38" s="266" t="s">
        <v>357</v>
      </c>
      <c r="F38" s="267" t="s">
        <v>829</v>
      </c>
      <c r="G38" s="268" t="s">
        <v>399</v>
      </c>
    </row>
    <row r="39" spans="1:7" ht="18" customHeight="1" x14ac:dyDescent="0.2">
      <c r="A39" s="266" t="s">
        <v>39</v>
      </c>
      <c r="B39" s="266" t="s">
        <v>36</v>
      </c>
      <c r="C39" s="266" t="s">
        <v>43</v>
      </c>
      <c r="D39" s="266" t="s">
        <v>357</v>
      </c>
      <c r="E39" s="266" t="s">
        <v>357</v>
      </c>
      <c r="F39" s="267" t="s">
        <v>830</v>
      </c>
      <c r="G39" s="268" t="s">
        <v>403</v>
      </c>
    </row>
    <row r="40" spans="1:7" ht="18" customHeight="1" x14ac:dyDescent="0.2">
      <c r="A40" s="266" t="s">
        <v>39</v>
      </c>
      <c r="B40" s="266" t="s">
        <v>36</v>
      </c>
      <c r="C40" s="266" t="s">
        <v>44</v>
      </c>
      <c r="D40" s="266" t="s">
        <v>357</v>
      </c>
      <c r="E40" s="266" t="s">
        <v>357</v>
      </c>
      <c r="F40" s="267" t="s">
        <v>831</v>
      </c>
      <c r="G40" s="268" t="s">
        <v>395</v>
      </c>
    </row>
    <row r="41" spans="1:7" ht="18" customHeight="1" x14ac:dyDescent="0.2">
      <c r="A41" s="266" t="s">
        <v>39</v>
      </c>
      <c r="B41" s="266" t="s">
        <v>36</v>
      </c>
      <c r="C41" s="266" t="s">
        <v>45</v>
      </c>
      <c r="D41" s="266" t="s">
        <v>357</v>
      </c>
      <c r="E41" s="266" t="s">
        <v>357</v>
      </c>
      <c r="F41" s="267" t="s">
        <v>832</v>
      </c>
      <c r="G41" s="268" t="s">
        <v>391</v>
      </c>
    </row>
    <row r="42" spans="1:7" ht="18" customHeight="1" x14ac:dyDescent="0.2">
      <c r="A42" s="266" t="s">
        <v>39</v>
      </c>
      <c r="B42" s="266" t="s">
        <v>36</v>
      </c>
      <c r="C42" s="266" t="s">
        <v>288</v>
      </c>
      <c r="D42" s="266" t="s">
        <v>357</v>
      </c>
      <c r="E42" s="266" t="s">
        <v>357</v>
      </c>
      <c r="F42" s="267" t="s">
        <v>833</v>
      </c>
      <c r="G42" s="268" t="s">
        <v>381</v>
      </c>
    </row>
    <row r="43" spans="1:7" ht="18" customHeight="1" x14ac:dyDescent="0.2">
      <c r="A43" s="266" t="s">
        <v>39</v>
      </c>
      <c r="B43" s="266" t="s">
        <v>36</v>
      </c>
      <c r="C43" s="266" t="s">
        <v>290</v>
      </c>
      <c r="D43" s="266" t="s">
        <v>357</v>
      </c>
      <c r="E43" s="266" t="s">
        <v>357</v>
      </c>
      <c r="F43" s="267" t="s">
        <v>834</v>
      </c>
      <c r="G43" s="268" t="s">
        <v>411</v>
      </c>
    </row>
    <row r="44" spans="1:7" ht="18" customHeight="1" x14ac:dyDescent="0.2">
      <c r="A44" s="266" t="s">
        <v>39</v>
      </c>
      <c r="B44" s="266" t="s">
        <v>36</v>
      </c>
      <c r="C44" s="266" t="s">
        <v>291</v>
      </c>
      <c r="D44" s="266" t="s">
        <v>357</v>
      </c>
      <c r="E44" s="266" t="s">
        <v>357</v>
      </c>
      <c r="F44" s="267" t="s">
        <v>835</v>
      </c>
      <c r="G44" s="268" t="s">
        <v>379</v>
      </c>
    </row>
    <row r="45" spans="1:7" ht="18" customHeight="1" x14ac:dyDescent="0.2">
      <c r="A45" s="266" t="s">
        <v>39</v>
      </c>
      <c r="B45" s="266" t="s">
        <v>36</v>
      </c>
      <c r="C45" s="266" t="s">
        <v>413</v>
      </c>
      <c r="D45" s="266" t="s">
        <v>357</v>
      </c>
      <c r="E45" s="266" t="s">
        <v>357</v>
      </c>
      <c r="F45" s="267" t="s">
        <v>836</v>
      </c>
      <c r="G45" s="268" t="s">
        <v>414</v>
      </c>
    </row>
    <row r="46" spans="1:7" ht="18" customHeight="1" x14ac:dyDescent="0.2">
      <c r="A46" s="266" t="s">
        <v>39</v>
      </c>
      <c r="B46" s="266" t="s">
        <v>36</v>
      </c>
      <c r="C46" s="266" t="s">
        <v>383</v>
      </c>
      <c r="D46" s="266" t="s">
        <v>357</v>
      </c>
      <c r="E46" s="266" t="s">
        <v>357</v>
      </c>
      <c r="F46" s="267" t="s">
        <v>837</v>
      </c>
      <c r="G46" s="268" t="s">
        <v>384</v>
      </c>
    </row>
    <row r="47" spans="1:7" ht="18" customHeight="1" x14ac:dyDescent="0.2">
      <c r="A47" s="266" t="s">
        <v>39</v>
      </c>
      <c r="B47" s="266" t="s">
        <v>36</v>
      </c>
      <c r="C47" s="266" t="s">
        <v>415</v>
      </c>
      <c r="D47" s="266" t="s">
        <v>357</v>
      </c>
      <c r="E47" s="266" t="s">
        <v>357</v>
      </c>
      <c r="F47" s="267" t="s">
        <v>838</v>
      </c>
      <c r="G47" s="268" t="s">
        <v>416</v>
      </c>
    </row>
    <row r="48" spans="1:7" ht="18" customHeight="1" x14ac:dyDescent="0.2">
      <c r="A48" s="266" t="s">
        <v>39</v>
      </c>
      <c r="B48" s="266" t="s">
        <v>36</v>
      </c>
      <c r="C48" s="266" t="s">
        <v>330</v>
      </c>
      <c r="D48" s="266" t="s">
        <v>357</v>
      </c>
      <c r="E48" s="266" t="s">
        <v>357</v>
      </c>
      <c r="F48" s="267" t="s">
        <v>839</v>
      </c>
      <c r="G48" s="268" t="s">
        <v>380</v>
      </c>
    </row>
    <row r="49" spans="1:7" ht="18" customHeight="1" x14ac:dyDescent="0.2">
      <c r="A49" s="266" t="s">
        <v>39</v>
      </c>
      <c r="B49" s="266" t="s">
        <v>36</v>
      </c>
      <c r="C49" s="266" t="s">
        <v>393</v>
      </c>
      <c r="D49" s="266" t="s">
        <v>357</v>
      </c>
      <c r="E49" s="266" t="s">
        <v>357</v>
      </c>
      <c r="F49" s="267" t="s">
        <v>840</v>
      </c>
      <c r="G49" s="268" t="s">
        <v>394</v>
      </c>
    </row>
    <row r="50" spans="1:7" ht="18" customHeight="1" x14ac:dyDescent="0.2">
      <c r="A50" s="266" t="s">
        <v>39</v>
      </c>
      <c r="B50" s="266" t="s">
        <v>36</v>
      </c>
      <c r="C50" s="266" t="s">
        <v>400</v>
      </c>
      <c r="D50" s="266" t="s">
        <v>357</v>
      </c>
      <c r="E50" s="266" t="s">
        <v>357</v>
      </c>
      <c r="F50" s="267" t="s">
        <v>841</v>
      </c>
      <c r="G50" s="268" t="s">
        <v>401</v>
      </c>
    </row>
    <row r="51" spans="1:7" ht="18" customHeight="1" x14ac:dyDescent="0.2">
      <c r="A51" s="266" t="s">
        <v>39</v>
      </c>
      <c r="B51" s="266" t="s">
        <v>36</v>
      </c>
      <c r="C51" s="266" t="s">
        <v>404</v>
      </c>
      <c r="D51" s="266" t="s">
        <v>357</v>
      </c>
      <c r="E51" s="266" t="s">
        <v>357</v>
      </c>
      <c r="F51" s="267" t="s">
        <v>842</v>
      </c>
      <c r="G51" s="268" t="s">
        <v>405</v>
      </c>
    </row>
    <row r="52" spans="1:7" ht="18" customHeight="1" x14ac:dyDescent="0.2">
      <c r="A52" s="266" t="s">
        <v>39</v>
      </c>
      <c r="B52" s="266" t="s">
        <v>36</v>
      </c>
      <c r="C52" s="266" t="s">
        <v>406</v>
      </c>
      <c r="D52" s="266" t="s">
        <v>357</v>
      </c>
      <c r="E52" s="266" t="s">
        <v>357</v>
      </c>
      <c r="F52" s="267" t="s">
        <v>843</v>
      </c>
      <c r="G52" s="268" t="s">
        <v>407</v>
      </c>
    </row>
    <row r="53" spans="1:7" ht="18" customHeight="1" x14ac:dyDescent="0.2">
      <c r="A53" s="266" t="s">
        <v>39</v>
      </c>
      <c r="B53" s="266" t="s">
        <v>36</v>
      </c>
      <c r="C53" s="266" t="s">
        <v>385</v>
      </c>
      <c r="D53" s="266" t="s">
        <v>357</v>
      </c>
      <c r="E53" s="266" t="s">
        <v>357</v>
      </c>
      <c r="F53" s="267" t="s">
        <v>844</v>
      </c>
      <c r="G53" s="268" t="s">
        <v>386</v>
      </c>
    </row>
    <row r="54" spans="1:7" ht="18" customHeight="1" x14ac:dyDescent="0.2">
      <c r="A54" s="266" t="s">
        <v>39</v>
      </c>
      <c r="B54" s="266" t="s">
        <v>36</v>
      </c>
      <c r="C54" s="266" t="s">
        <v>387</v>
      </c>
      <c r="D54" s="266" t="s">
        <v>357</v>
      </c>
      <c r="E54" s="266" t="s">
        <v>357</v>
      </c>
      <c r="F54" s="267" t="s">
        <v>845</v>
      </c>
      <c r="G54" s="268" t="s">
        <v>388</v>
      </c>
    </row>
    <row r="55" spans="1:7" ht="18" customHeight="1" x14ac:dyDescent="0.2">
      <c r="A55" s="266" t="s">
        <v>39</v>
      </c>
      <c r="B55" s="266" t="s">
        <v>36</v>
      </c>
      <c r="C55" s="266" t="s">
        <v>329</v>
      </c>
      <c r="D55" s="266" t="s">
        <v>357</v>
      </c>
      <c r="E55" s="266" t="s">
        <v>357</v>
      </c>
      <c r="F55" s="267" t="s">
        <v>846</v>
      </c>
      <c r="G55" s="268" t="s">
        <v>502</v>
      </c>
    </row>
    <row r="56" spans="1:7" ht="18" customHeight="1" x14ac:dyDescent="0.2">
      <c r="A56" s="266" t="s">
        <v>39</v>
      </c>
      <c r="B56" s="266" t="s">
        <v>36</v>
      </c>
      <c r="C56" s="266" t="s">
        <v>329</v>
      </c>
      <c r="D56" s="266" t="s">
        <v>36</v>
      </c>
      <c r="E56" s="266" t="s">
        <v>357</v>
      </c>
      <c r="F56" s="267" t="s">
        <v>847</v>
      </c>
      <c r="G56" s="268" t="s">
        <v>661</v>
      </c>
    </row>
    <row r="57" spans="1:7" ht="18" customHeight="1" x14ac:dyDescent="0.2">
      <c r="A57" s="266" t="s">
        <v>39</v>
      </c>
      <c r="B57" s="266" t="s">
        <v>36</v>
      </c>
      <c r="C57" s="266" t="s">
        <v>329</v>
      </c>
      <c r="D57" s="266" t="s">
        <v>36</v>
      </c>
      <c r="E57" s="266" t="s">
        <v>36</v>
      </c>
      <c r="F57" s="267" t="s">
        <v>848</v>
      </c>
      <c r="G57" s="268" t="s">
        <v>396</v>
      </c>
    </row>
    <row r="58" spans="1:7" ht="18" customHeight="1" x14ac:dyDescent="0.2">
      <c r="A58" s="266" t="s">
        <v>39</v>
      </c>
      <c r="B58" s="266" t="s">
        <v>36</v>
      </c>
      <c r="C58" s="266" t="s">
        <v>329</v>
      </c>
      <c r="D58" s="266" t="s">
        <v>36</v>
      </c>
      <c r="E58" s="266" t="s">
        <v>37</v>
      </c>
      <c r="F58" s="267" t="s">
        <v>849</v>
      </c>
      <c r="G58" s="268" t="s">
        <v>409</v>
      </c>
    </row>
    <row r="59" spans="1:7" ht="18" customHeight="1" x14ac:dyDescent="0.2">
      <c r="A59" s="266" t="s">
        <v>39</v>
      </c>
      <c r="B59" s="266" t="s">
        <v>36</v>
      </c>
      <c r="C59" s="266" t="s">
        <v>329</v>
      </c>
      <c r="D59" s="266" t="s">
        <v>329</v>
      </c>
      <c r="E59" s="266" t="s">
        <v>357</v>
      </c>
      <c r="F59" s="267" t="s">
        <v>850</v>
      </c>
      <c r="G59" s="268" t="s">
        <v>662</v>
      </c>
    </row>
    <row r="60" spans="1:7" ht="18" customHeight="1" x14ac:dyDescent="0.2">
      <c r="A60" s="266" t="s">
        <v>39</v>
      </c>
      <c r="B60" s="266" t="s">
        <v>36</v>
      </c>
      <c r="C60" s="266" t="s">
        <v>329</v>
      </c>
      <c r="D60" s="266" t="s">
        <v>329</v>
      </c>
      <c r="E60" s="266" t="s">
        <v>36</v>
      </c>
      <c r="F60" s="267" t="s">
        <v>851</v>
      </c>
      <c r="G60" s="268" t="s">
        <v>412</v>
      </c>
    </row>
    <row r="61" spans="1:7" ht="18" customHeight="1" x14ac:dyDescent="0.2">
      <c r="A61" s="271" t="s">
        <v>39</v>
      </c>
      <c r="B61" s="271" t="s">
        <v>37</v>
      </c>
      <c r="C61" s="271" t="s">
        <v>357</v>
      </c>
      <c r="D61" s="271" t="s">
        <v>357</v>
      </c>
      <c r="E61" s="271" t="s">
        <v>357</v>
      </c>
      <c r="F61" s="270" t="s">
        <v>852</v>
      </c>
      <c r="G61" s="272" t="s">
        <v>503</v>
      </c>
    </row>
    <row r="62" spans="1:7" ht="18" customHeight="1" x14ac:dyDescent="0.2">
      <c r="A62" s="266" t="s">
        <v>39</v>
      </c>
      <c r="B62" s="266" t="s">
        <v>37</v>
      </c>
      <c r="C62" s="266" t="s">
        <v>36</v>
      </c>
      <c r="D62" s="266" t="s">
        <v>357</v>
      </c>
      <c r="E62" s="266" t="s">
        <v>357</v>
      </c>
      <c r="F62" s="267" t="s">
        <v>853</v>
      </c>
      <c r="G62" s="268" t="s">
        <v>402</v>
      </c>
    </row>
    <row r="63" spans="1:7" ht="18" customHeight="1" x14ac:dyDescent="0.2">
      <c r="A63" s="266" t="s">
        <v>39</v>
      </c>
      <c r="B63" s="266" t="s">
        <v>37</v>
      </c>
      <c r="C63" s="266" t="s">
        <v>37</v>
      </c>
      <c r="D63" s="266" t="s">
        <v>357</v>
      </c>
      <c r="E63" s="266" t="s">
        <v>357</v>
      </c>
      <c r="F63" s="267" t="s">
        <v>854</v>
      </c>
      <c r="G63" s="268" t="s">
        <v>390</v>
      </c>
    </row>
    <row r="64" spans="1:7" ht="18" customHeight="1" x14ac:dyDescent="0.2">
      <c r="A64" s="266" t="s">
        <v>39</v>
      </c>
      <c r="B64" s="266" t="s">
        <v>37</v>
      </c>
      <c r="C64" s="266" t="s">
        <v>38</v>
      </c>
      <c r="D64" s="266" t="s">
        <v>357</v>
      </c>
      <c r="E64" s="266" t="s">
        <v>357</v>
      </c>
      <c r="F64" s="267" t="s">
        <v>855</v>
      </c>
      <c r="G64" s="268" t="s">
        <v>417</v>
      </c>
    </row>
    <row r="65" spans="1:7" ht="18" customHeight="1" x14ac:dyDescent="0.2">
      <c r="A65" s="266" t="s">
        <v>39</v>
      </c>
      <c r="B65" s="266" t="s">
        <v>37</v>
      </c>
      <c r="C65" s="266" t="s">
        <v>39</v>
      </c>
      <c r="D65" s="266" t="s">
        <v>357</v>
      </c>
      <c r="E65" s="266" t="s">
        <v>357</v>
      </c>
      <c r="F65" s="267" t="s">
        <v>856</v>
      </c>
      <c r="G65" s="268" t="s">
        <v>389</v>
      </c>
    </row>
    <row r="66" spans="1:7" ht="18" customHeight="1" x14ac:dyDescent="0.2">
      <c r="A66" s="266" t="s">
        <v>39</v>
      </c>
      <c r="B66" s="266" t="s">
        <v>37</v>
      </c>
      <c r="C66" s="266" t="s">
        <v>329</v>
      </c>
      <c r="D66" s="266" t="s">
        <v>357</v>
      </c>
      <c r="E66" s="266" t="s">
        <v>357</v>
      </c>
      <c r="F66" s="267" t="s">
        <v>857</v>
      </c>
      <c r="G66" s="268" t="s">
        <v>408</v>
      </c>
    </row>
    <row r="67" spans="1:7" ht="18" customHeight="1" x14ac:dyDescent="0.2">
      <c r="A67" s="231" t="s">
        <v>40</v>
      </c>
      <c r="B67" s="231" t="s">
        <v>357</v>
      </c>
      <c r="C67" s="231" t="s">
        <v>357</v>
      </c>
      <c r="D67" s="231" t="s">
        <v>357</v>
      </c>
      <c r="E67" s="231" t="s">
        <v>357</v>
      </c>
      <c r="F67" s="229" t="s">
        <v>858</v>
      </c>
      <c r="G67" s="230" t="s">
        <v>485</v>
      </c>
    </row>
    <row r="68" spans="1:7" ht="18" customHeight="1" x14ac:dyDescent="0.2">
      <c r="A68" s="271" t="s">
        <v>40</v>
      </c>
      <c r="B68" s="271" t="s">
        <v>36</v>
      </c>
      <c r="C68" s="271" t="s">
        <v>357</v>
      </c>
      <c r="D68" s="271" t="s">
        <v>357</v>
      </c>
      <c r="E68" s="271" t="s">
        <v>357</v>
      </c>
      <c r="F68" s="270" t="s">
        <v>859</v>
      </c>
      <c r="G68" s="272" t="s">
        <v>504</v>
      </c>
    </row>
    <row r="69" spans="1:7" ht="18" customHeight="1" x14ac:dyDescent="0.2">
      <c r="A69" s="266" t="s">
        <v>40</v>
      </c>
      <c r="B69" s="266" t="s">
        <v>36</v>
      </c>
      <c r="C69" s="266" t="s">
        <v>36</v>
      </c>
      <c r="D69" s="266" t="s">
        <v>357</v>
      </c>
      <c r="E69" s="266" t="s">
        <v>357</v>
      </c>
      <c r="F69" s="267" t="s">
        <v>860</v>
      </c>
      <c r="G69" s="268" t="s">
        <v>423</v>
      </c>
    </row>
    <row r="70" spans="1:7" ht="18" customHeight="1" x14ac:dyDescent="0.2">
      <c r="A70" s="266" t="s">
        <v>40</v>
      </c>
      <c r="B70" s="266" t="s">
        <v>36</v>
      </c>
      <c r="C70" s="266" t="s">
        <v>37</v>
      </c>
      <c r="D70" s="266" t="s">
        <v>357</v>
      </c>
      <c r="E70" s="266" t="s">
        <v>357</v>
      </c>
      <c r="F70" s="267" t="s">
        <v>861</v>
      </c>
      <c r="G70" s="268" t="s">
        <v>420</v>
      </c>
    </row>
    <row r="71" spans="1:7" ht="18" customHeight="1" x14ac:dyDescent="0.2">
      <c r="A71" s="271" t="s">
        <v>40</v>
      </c>
      <c r="B71" s="271" t="s">
        <v>37</v>
      </c>
      <c r="C71" s="271" t="s">
        <v>357</v>
      </c>
      <c r="D71" s="271" t="s">
        <v>357</v>
      </c>
      <c r="E71" s="271" t="s">
        <v>357</v>
      </c>
      <c r="F71" s="270" t="s">
        <v>862</v>
      </c>
      <c r="G71" s="272" t="s">
        <v>505</v>
      </c>
    </row>
    <row r="72" spans="1:7" ht="18" customHeight="1" x14ac:dyDescent="0.2">
      <c r="A72" s="266" t="s">
        <v>40</v>
      </c>
      <c r="B72" s="266" t="s">
        <v>37</v>
      </c>
      <c r="C72" s="266" t="s">
        <v>36</v>
      </c>
      <c r="D72" s="266" t="s">
        <v>357</v>
      </c>
      <c r="E72" s="266" t="s">
        <v>357</v>
      </c>
      <c r="F72" s="267" t="s">
        <v>863</v>
      </c>
      <c r="G72" s="268" t="s">
        <v>418</v>
      </c>
    </row>
    <row r="73" spans="1:7" ht="18" customHeight="1" x14ac:dyDescent="0.2">
      <c r="A73" s="266" t="s">
        <v>40</v>
      </c>
      <c r="B73" s="266" t="s">
        <v>37</v>
      </c>
      <c r="C73" s="266" t="s">
        <v>37</v>
      </c>
      <c r="D73" s="266" t="s">
        <v>357</v>
      </c>
      <c r="E73" s="266" t="s">
        <v>357</v>
      </c>
      <c r="F73" s="267" t="s">
        <v>864</v>
      </c>
      <c r="G73" s="268" t="s">
        <v>419</v>
      </c>
    </row>
    <row r="74" spans="1:7" ht="18" customHeight="1" x14ac:dyDescent="0.2">
      <c r="A74" s="271" t="s">
        <v>40</v>
      </c>
      <c r="B74" s="271" t="s">
        <v>38</v>
      </c>
      <c r="C74" s="271" t="s">
        <v>357</v>
      </c>
      <c r="D74" s="271" t="s">
        <v>357</v>
      </c>
      <c r="E74" s="271" t="s">
        <v>357</v>
      </c>
      <c r="F74" s="270" t="s">
        <v>865</v>
      </c>
      <c r="G74" s="272" t="s">
        <v>506</v>
      </c>
    </row>
    <row r="75" spans="1:7" ht="18" customHeight="1" x14ac:dyDescent="0.2">
      <c r="A75" s="266" t="s">
        <v>40</v>
      </c>
      <c r="B75" s="266" t="s">
        <v>38</v>
      </c>
      <c r="C75" s="266" t="s">
        <v>36</v>
      </c>
      <c r="D75" s="266" t="s">
        <v>357</v>
      </c>
      <c r="E75" s="266" t="s">
        <v>357</v>
      </c>
      <c r="F75" s="267" t="s">
        <v>866</v>
      </c>
      <c r="G75" s="268" t="s">
        <v>428</v>
      </c>
    </row>
    <row r="76" spans="1:7" ht="18" customHeight="1" x14ac:dyDescent="0.2">
      <c r="A76" s="266" t="s">
        <v>40</v>
      </c>
      <c r="B76" s="266" t="s">
        <v>38</v>
      </c>
      <c r="C76" s="266" t="s">
        <v>38</v>
      </c>
      <c r="D76" s="266" t="s">
        <v>357</v>
      </c>
      <c r="E76" s="266" t="s">
        <v>357</v>
      </c>
      <c r="F76" s="267" t="s">
        <v>867</v>
      </c>
      <c r="G76" s="268" t="s">
        <v>430</v>
      </c>
    </row>
    <row r="77" spans="1:7" ht="18" customHeight="1" x14ac:dyDescent="0.2">
      <c r="A77" s="271" t="s">
        <v>40</v>
      </c>
      <c r="B77" s="271" t="s">
        <v>39</v>
      </c>
      <c r="C77" s="271" t="s">
        <v>357</v>
      </c>
      <c r="D77" s="271" t="s">
        <v>357</v>
      </c>
      <c r="E77" s="271" t="s">
        <v>357</v>
      </c>
      <c r="F77" s="270" t="s">
        <v>868</v>
      </c>
      <c r="G77" s="272" t="s">
        <v>507</v>
      </c>
    </row>
    <row r="78" spans="1:7" ht="18" customHeight="1" x14ac:dyDescent="0.2">
      <c r="A78" s="266" t="s">
        <v>40</v>
      </c>
      <c r="B78" s="266" t="s">
        <v>39</v>
      </c>
      <c r="C78" s="266" t="s">
        <v>36</v>
      </c>
      <c r="D78" s="266" t="s">
        <v>357</v>
      </c>
      <c r="E78" s="266" t="s">
        <v>357</v>
      </c>
      <c r="F78" s="267" t="s">
        <v>869</v>
      </c>
      <c r="G78" s="268" t="s">
        <v>431</v>
      </c>
    </row>
    <row r="79" spans="1:7" ht="18" customHeight="1" x14ac:dyDescent="0.2">
      <c r="A79" s="271" t="s">
        <v>40</v>
      </c>
      <c r="B79" s="271" t="s">
        <v>40</v>
      </c>
      <c r="C79" s="271" t="s">
        <v>357</v>
      </c>
      <c r="D79" s="271" t="s">
        <v>357</v>
      </c>
      <c r="E79" s="271" t="s">
        <v>357</v>
      </c>
      <c r="F79" s="270" t="s">
        <v>870</v>
      </c>
      <c r="G79" s="272" t="s">
        <v>422</v>
      </c>
    </row>
    <row r="80" spans="1:7" ht="18" customHeight="1" x14ac:dyDescent="0.2">
      <c r="A80" s="266" t="s">
        <v>40</v>
      </c>
      <c r="B80" s="266" t="s">
        <v>40</v>
      </c>
      <c r="C80" s="266" t="s">
        <v>36</v>
      </c>
      <c r="D80" s="266" t="s">
        <v>357</v>
      </c>
      <c r="E80" s="266" t="s">
        <v>357</v>
      </c>
      <c r="F80" s="267" t="s">
        <v>871</v>
      </c>
      <c r="G80" s="268" t="s">
        <v>422</v>
      </c>
    </row>
    <row r="81" spans="1:7" ht="18" customHeight="1" x14ac:dyDescent="0.2">
      <c r="A81" s="271" t="s">
        <v>40</v>
      </c>
      <c r="B81" s="271" t="s">
        <v>42</v>
      </c>
      <c r="C81" s="271" t="s">
        <v>357</v>
      </c>
      <c r="D81" s="271" t="s">
        <v>357</v>
      </c>
      <c r="E81" s="271" t="s">
        <v>357</v>
      </c>
      <c r="F81" s="270" t="s">
        <v>872</v>
      </c>
      <c r="G81" s="272" t="s">
        <v>508</v>
      </c>
    </row>
    <row r="82" spans="1:7" ht="18" customHeight="1" x14ac:dyDescent="0.2">
      <c r="A82" s="266" t="s">
        <v>40</v>
      </c>
      <c r="B82" s="266" t="s">
        <v>42</v>
      </c>
      <c r="C82" s="266" t="s">
        <v>36</v>
      </c>
      <c r="D82" s="266" t="s">
        <v>357</v>
      </c>
      <c r="E82" s="266" t="s">
        <v>357</v>
      </c>
      <c r="F82" s="267" t="s">
        <v>873</v>
      </c>
      <c r="G82" s="268" t="s">
        <v>432</v>
      </c>
    </row>
    <row r="83" spans="1:7" ht="18" customHeight="1" x14ac:dyDescent="0.2">
      <c r="A83" s="271" t="s">
        <v>40</v>
      </c>
      <c r="B83" s="271" t="s">
        <v>43</v>
      </c>
      <c r="C83" s="271" t="s">
        <v>357</v>
      </c>
      <c r="D83" s="271" t="s">
        <v>357</v>
      </c>
      <c r="E83" s="271" t="s">
        <v>357</v>
      </c>
      <c r="F83" s="270" t="s">
        <v>874</v>
      </c>
      <c r="G83" s="272" t="s">
        <v>509</v>
      </c>
    </row>
    <row r="84" spans="1:7" ht="18" customHeight="1" x14ac:dyDescent="0.2">
      <c r="A84" s="266" t="s">
        <v>40</v>
      </c>
      <c r="B84" s="266" t="s">
        <v>43</v>
      </c>
      <c r="C84" s="266" t="s">
        <v>36</v>
      </c>
      <c r="D84" s="266" t="s">
        <v>357</v>
      </c>
      <c r="E84" s="266" t="s">
        <v>357</v>
      </c>
      <c r="F84" s="267" t="s">
        <v>875</v>
      </c>
      <c r="G84" s="268" t="s">
        <v>427</v>
      </c>
    </row>
    <row r="85" spans="1:7" ht="18" customHeight="1" x14ac:dyDescent="0.2">
      <c r="A85" s="271" t="s">
        <v>40</v>
      </c>
      <c r="B85" s="271" t="s">
        <v>45</v>
      </c>
      <c r="C85" s="271" t="s">
        <v>357</v>
      </c>
      <c r="D85" s="271" t="s">
        <v>357</v>
      </c>
      <c r="E85" s="271" t="s">
        <v>357</v>
      </c>
      <c r="F85" s="270" t="s">
        <v>876</v>
      </c>
      <c r="G85" s="272" t="s">
        <v>510</v>
      </c>
    </row>
    <row r="86" spans="1:7" ht="18" customHeight="1" x14ac:dyDescent="0.2">
      <c r="A86" s="266" t="s">
        <v>40</v>
      </c>
      <c r="B86" s="266" t="s">
        <v>45</v>
      </c>
      <c r="C86" s="266" t="s">
        <v>36</v>
      </c>
      <c r="D86" s="266" t="s">
        <v>357</v>
      </c>
      <c r="E86" s="266" t="s">
        <v>357</v>
      </c>
      <c r="F86" s="267" t="s">
        <v>877</v>
      </c>
      <c r="G86" s="268" t="s">
        <v>424</v>
      </c>
    </row>
    <row r="87" spans="1:7" ht="18" customHeight="1" x14ac:dyDescent="0.2">
      <c r="A87" s="266" t="s">
        <v>40</v>
      </c>
      <c r="B87" s="266" t="s">
        <v>45</v>
      </c>
      <c r="C87" s="266" t="s">
        <v>37</v>
      </c>
      <c r="D87" s="266" t="s">
        <v>357</v>
      </c>
      <c r="E87" s="266" t="s">
        <v>357</v>
      </c>
      <c r="F87" s="267" t="s">
        <v>878</v>
      </c>
      <c r="G87" s="268" t="s">
        <v>429</v>
      </c>
    </row>
    <row r="88" spans="1:7" ht="18" customHeight="1" x14ac:dyDescent="0.2">
      <c r="A88" s="266" t="s">
        <v>40</v>
      </c>
      <c r="B88" s="266" t="s">
        <v>45</v>
      </c>
      <c r="C88" s="266" t="s">
        <v>38</v>
      </c>
      <c r="D88" s="266" t="s">
        <v>357</v>
      </c>
      <c r="E88" s="266" t="s">
        <v>357</v>
      </c>
      <c r="F88" s="267" t="s">
        <v>879</v>
      </c>
      <c r="G88" s="268" t="s">
        <v>425</v>
      </c>
    </row>
    <row r="89" spans="1:7" ht="18" customHeight="1" x14ac:dyDescent="0.2">
      <c r="A89" s="266" t="s">
        <v>40</v>
      </c>
      <c r="B89" s="266" t="s">
        <v>45</v>
      </c>
      <c r="C89" s="266" t="s">
        <v>39</v>
      </c>
      <c r="D89" s="266" t="s">
        <v>357</v>
      </c>
      <c r="E89" s="266" t="s">
        <v>357</v>
      </c>
      <c r="F89" s="267" t="s">
        <v>880</v>
      </c>
      <c r="G89" s="268" t="s">
        <v>433</v>
      </c>
    </row>
    <row r="90" spans="1:7" ht="18" customHeight="1" x14ac:dyDescent="0.2">
      <c r="A90" s="266" t="s">
        <v>40</v>
      </c>
      <c r="B90" s="266" t="s">
        <v>45</v>
      </c>
      <c r="C90" s="266" t="s">
        <v>40</v>
      </c>
      <c r="D90" s="266" t="s">
        <v>357</v>
      </c>
      <c r="E90" s="266" t="s">
        <v>357</v>
      </c>
      <c r="F90" s="267" t="s">
        <v>881</v>
      </c>
      <c r="G90" s="268" t="s">
        <v>421</v>
      </c>
    </row>
    <row r="91" spans="1:7" ht="18" customHeight="1" x14ac:dyDescent="0.2">
      <c r="A91" s="266" t="s">
        <v>40</v>
      </c>
      <c r="B91" s="266" t="s">
        <v>45</v>
      </c>
      <c r="C91" s="266" t="s">
        <v>329</v>
      </c>
      <c r="D91" s="266" t="s">
        <v>357</v>
      </c>
      <c r="E91" s="266" t="s">
        <v>357</v>
      </c>
      <c r="F91" s="267" t="s">
        <v>882</v>
      </c>
      <c r="G91" s="268" t="s">
        <v>377</v>
      </c>
    </row>
    <row r="92" spans="1:7" ht="18" customHeight="1" x14ac:dyDescent="0.2">
      <c r="A92" s="271" t="s">
        <v>40</v>
      </c>
      <c r="B92" s="271" t="s">
        <v>288</v>
      </c>
      <c r="C92" s="271" t="s">
        <v>357</v>
      </c>
      <c r="D92" s="271" t="s">
        <v>357</v>
      </c>
      <c r="E92" s="271" t="s">
        <v>357</v>
      </c>
      <c r="F92" s="270" t="s">
        <v>883</v>
      </c>
      <c r="G92" s="272" t="s">
        <v>426</v>
      </c>
    </row>
    <row r="93" spans="1:7" ht="18" customHeight="1" x14ac:dyDescent="0.2">
      <c r="A93" s="266" t="s">
        <v>40</v>
      </c>
      <c r="B93" s="266" t="s">
        <v>288</v>
      </c>
      <c r="C93" s="266" t="s">
        <v>36</v>
      </c>
      <c r="D93" s="266" t="s">
        <v>357</v>
      </c>
      <c r="E93" s="266" t="s">
        <v>357</v>
      </c>
      <c r="F93" s="267" t="s">
        <v>884</v>
      </c>
      <c r="G93" s="268" t="s">
        <v>426</v>
      </c>
    </row>
    <row r="94" spans="1:7" ht="18" customHeight="1" x14ac:dyDescent="0.2">
      <c r="A94" s="231" t="s">
        <v>41</v>
      </c>
      <c r="B94" s="231" t="s">
        <v>357</v>
      </c>
      <c r="C94" s="231" t="s">
        <v>357</v>
      </c>
      <c r="D94" s="231" t="s">
        <v>357</v>
      </c>
      <c r="E94" s="231" t="s">
        <v>357</v>
      </c>
      <c r="F94" s="229" t="s">
        <v>885</v>
      </c>
      <c r="G94" s="230" t="s">
        <v>486</v>
      </c>
    </row>
    <row r="95" spans="1:7" ht="18" customHeight="1" x14ac:dyDescent="0.2">
      <c r="A95" s="271" t="s">
        <v>41</v>
      </c>
      <c r="B95" s="271" t="s">
        <v>36</v>
      </c>
      <c r="C95" s="271" t="s">
        <v>357</v>
      </c>
      <c r="D95" s="271" t="s">
        <v>357</v>
      </c>
      <c r="E95" s="271" t="s">
        <v>357</v>
      </c>
      <c r="F95" s="270" t="s">
        <v>886</v>
      </c>
      <c r="G95" s="272" t="s">
        <v>511</v>
      </c>
    </row>
    <row r="96" spans="1:7" ht="18" customHeight="1" x14ac:dyDescent="0.2">
      <c r="A96" s="266" t="s">
        <v>41</v>
      </c>
      <c r="B96" s="266" t="s">
        <v>36</v>
      </c>
      <c r="C96" s="266" t="s">
        <v>36</v>
      </c>
      <c r="D96" s="266" t="s">
        <v>357</v>
      </c>
      <c r="E96" s="266" t="s">
        <v>357</v>
      </c>
      <c r="F96" s="267" t="s">
        <v>887</v>
      </c>
      <c r="G96" s="268" t="s">
        <v>423</v>
      </c>
    </row>
    <row r="97" spans="1:7" ht="18" customHeight="1" x14ac:dyDescent="0.2">
      <c r="A97" s="266" t="s">
        <v>41</v>
      </c>
      <c r="B97" s="266" t="s">
        <v>36</v>
      </c>
      <c r="C97" s="266" t="s">
        <v>37</v>
      </c>
      <c r="D97" s="266" t="s">
        <v>357</v>
      </c>
      <c r="E97" s="266" t="s">
        <v>357</v>
      </c>
      <c r="F97" s="267" t="s">
        <v>888</v>
      </c>
      <c r="G97" s="268" t="s">
        <v>420</v>
      </c>
    </row>
    <row r="98" spans="1:7" ht="18" customHeight="1" x14ac:dyDescent="0.2">
      <c r="A98" s="271" t="s">
        <v>41</v>
      </c>
      <c r="B98" s="271" t="s">
        <v>38</v>
      </c>
      <c r="C98" s="271" t="s">
        <v>357</v>
      </c>
      <c r="D98" s="271" t="s">
        <v>357</v>
      </c>
      <c r="E98" s="271" t="s">
        <v>357</v>
      </c>
      <c r="F98" s="270" t="s">
        <v>889</v>
      </c>
      <c r="G98" s="272" t="s">
        <v>512</v>
      </c>
    </row>
    <row r="99" spans="1:7" ht="18" customHeight="1" x14ac:dyDescent="0.2">
      <c r="A99" s="266" t="s">
        <v>41</v>
      </c>
      <c r="B99" s="266" t="s">
        <v>38</v>
      </c>
      <c r="C99" s="266" t="s">
        <v>36</v>
      </c>
      <c r="D99" s="266" t="s">
        <v>357</v>
      </c>
      <c r="E99" s="266" t="s">
        <v>357</v>
      </c>
      <c r="F99" s="267" t="s">
        <v>890</v>
      </c>
      <c r="G99" s="268" t="s">
        <v>438</v>
      </c>
    </row>
    <row r="100" spans="1:7" ht="18" customHeight="1" x14ac:dyDescent="0.2">
      <c r="A100" s="266" t="s">
        <v>41</v>
      </c>
      <c r="B100" s="266" t="s">
        <v>38</v>
      </c>
      <c r="C100" s="266" t="s">
        <v>42</v>
      </c>
      <c r="D100" s="266" t="s">
        <v>357</v>
      </c>
      <c r="E100" s="266" t="s">
        <v>357</v>
      </c>
      <c r="F100" s="267" t="s">
        <v>891</v>
      </c>
      <c r="G100" s="268" t="s">
        <v>436</v>
      </c>
    </row>
    <row r="101" spans="1:7" ht="18" customHeight="1" x14ac:dyDescent="0.2">
      <c r="A101" s="271" t="s">
        <v>41</v>
      </c>
      <c r="B101" s="271" t="s">
        <v>40</v>
      </c>
      <c r="C101" s="271" t="s">
        <v>357</v>
      </c>
      <c r="D101" s="271" t="s">
        <v>357</v>
      </c>
      <c r="E101" s="271" t="s">
        <v>357</v>
      </c>
      <c r="F101" s="270" t="s">
        <v>892</v>
      </c>
      <c r="G101" s="272" t="s">
        <v>513</v>
      </c>
    </row>
    <row r="102" spans="1:7" ht="18" customHeight="1" x14ac:dyDescent="0.2">
      <c r="A102" s="266" t="s">
        <v>41</v>
      </c>
      <c r="B102" s="266" t="s">
        <v>40</v>
      </c>
      <c r="C102" s="266" t="s">
        <v>37</v>
      </c>
      <c r="D102" s="266" t="s">
        <v>357</v>
      </c>
      <c r="E102" s="266" t="s">
        <v>357</v>
      </c>
      <c r="F102" s="267" t="s">
        <v>893</v>
      </c>
      <c r="G102" s="268" t="s">
        <v>439</v>
      </c>
    </row>
    <row r="103" spans="1:7" ht="18" customHeight="1" x14ac:dyDescent="0.2">
      <c r="A103" s="271" t="s">
        <v>41</v>
      </c>
      <c r="B103" s="271" t="s">
        <v>41</v>
      </c>
      <c r="C103" s="271" t="s">
        <v>357</v>
      </c>
      <c r="D103" s="271" t="s">
        <v>357</v>
      </c>
      <c r="E103" s="271" t="s">
        <v>357</v>
      </c>
      <c r="F103" s="270" t="s">
        <v>894</v>
      </c>
      <c r="G103" s="272" t="s">
        <v>514</v>
      </c>
    </row>
    <row r="104" spans="1:7" ht="18" customHeight="1" x14ac:dyDescent="0.2">
      <c r="A104" s="271" t="s">
        <v>41</v>
      </c>
      <c r="B104" s="271" t="s">
        <v>41</v>
      </c>
      <c r="C104" s="271" t="s">
        <v>357</v>
      </c>
      <c r="D104" s="271" t="s">
        <v>357</v>
      </c>
      <c r="E104" s="271" t="s">
        <v>357</v>
      </c>
      <c r="F104" s="270" t="s">
        <v>894</v>
      </c>
      <c r="G104" s="272" t="s">
        <v>441</v>
      </c>
    </row>
    <row r="105" spans="1:7" ht="18" customHeight="1" x14ac:dyDescent="0.2">
      <c r="A105" s="266" t="s">
        <v>41</v>
      </c>
      <c r="B105" s="266" t="s">
        <v>41</v>
      </c>
      <c r="C105" s="266" t="s">
        <v>36</v>
      </c>
      <c r="D105" s="266" t="s">
        <v>357</v>
      </c>
      <c r="E105" s="266" t="s">
        <v>357</v>
      </c>
      <c r="F105" s="267" t="s">
        <v>895</v>
      </c>
      <c r="G105" s="268" t="s">
        <v>440</v>
      </c>
    </row>
    <row r="106" spans="1:7" ht="18" customHeight="1" x14ac:dyDescent="0.2">
      <c r="A106" s="271" t="s">
        <v>41</v>
      </c>
      <c r="B106" s="271" t="s">
        <v>42</v>
      </c>
      <c r="C106" s="271" t="s">
        <v>357</v>
      </c>
      <c r="D106" s="271" t="s">
        <v>357</v>
      </c>
      <c r="E106" s="271" t="s">
        <v>357</v>
      </c>
      <c r="F106" s="270" t="s">
        <v>896</v>
      </c>
      <c r="G106" s="272" t="s">
        <v>515</v>
      </c>
    </row>
    <row r="107" spans="1:7" ht="18" customHeight="1" x14ac:dyDescent="0.2">
      <c r="A107" s="266" t="s">
        <v>41</v>
      </c>
      <c r="B107" s="266" t="s">
        <v>42</v>
      </c>
      <c r="C107" s="266" t="s">
        <v>36</v>
      </c>
      <c r="D107" s="266" t="s">
        <v>357</v>
      </c>
      <c r="E107" s="266" t="s">
        <v>357</v>
      </c>
      <c r="F107" s="267" t="s">
        <v>897</v>
      </c>
      <c r="G107" s="268" t="s">
        <v>435</v>
      </c>
    </row>
    <row r="108" spans="1:7" ht="18" customHeight="1" x14ac:dyDescent="0.2">
      <c r="A108" s="271" t="s">
        <v>41</v>
      </c>
      <c r="B108" s="271" t="s">
        <v>44</v>
      </c>
      <c r="C108" s="271" t="s">
        <v>357</v>
      </c>
      <c r="D108" s="271" t="s">
        <v>357</v>
      </c>
      <c r="E108" s="271" t="s">
        <v>357</v>
      </c>
      <c r="F108" s="270" t="s">
        <v>898</v>
      </c>
      <c r="G108" s="272" t="s">
        <v>516</v>
      </c>
    </row>
    <row r="109" spans="1:7" ht="18" customHeight="1" x14ac:dyDescent="0.2">
      <c r="A109" s="266" t="s">
        <v>41</v>
      </c>
      <c r="B109" s="266" t="s">
        <v>44</v>
      </c>
      <c r="C109" s="266" t="s">
        <v>36</v>
      </c>
      <c r="D109" s="266" t="s">
        <v>357</v>
      </c>
      <c r="E109" s="266" t="s">
        <v>357</v>
      </c>
      <c r="F109" s="267" t="s">
        <v>899</v>
      </c>
      <c r="G109" s="268" t="s">
        <v>434</v>
      </c>
    </row>
    <row r="110" spans="1:7" ht="18" customHeight="1" x14ac:dyDescent="0.2">
      <c r="A110" s="266" t="s">
        <v>41</v>
      </c>
      <c r="B110" s="266" t="s">
        <v>44</v>
      </c>
      <c r="C110" s="266" t="s">
        <v>40</v>
      </c>
      <c r="D110" s="266" t="s">
        <v>357</v>
      </c>
      <c r="E110" s="266" t="s">
        <v>357</v>
      </c>
      <c r="F110" s="267" t="s">
        <v>900</v>
      </c>
      <c r="G110" s="268" t="s">
        <v>437</v>
      </c>
    </row>
    <row r="111" spans="1:7" ht="18" customHeight="1" x14ac:dyDescent="0.2">
      <c r="A111" s="231" t="s">
        <v>42</v>
      </c>
      <c r="B111" s="231" t="s">
        <v>357</v>
      </c>
      <c r="C111" s="231" t="s">
        <v>357</v>
      </c>
      <c r="D111" s="231" t="s">
        <v>357</v>
      </c>
      <c r="E111" s="231" t="s">
        <v>357</v>
      </c>
      <c r="F111" s="229" t="s">
        <v>901</v>
      </c>
      <c r="G111" s="230" t="s">
        <v>487</v>
      </c>
    </row>
    <row r="112" spans="1:7" ht="18" customHeight="1" x14ac:dyDescent="0.2">
      <c r="A112" s="271" t="s">
        <v>42</v>
      </c>
      <c r="B112" s="271" t="s">
        <v>36</v>
      </c>
      <c r="C112" s="271" t="s">
        <v>357</v>
      </c>
      <c r="D112" s="271" t="s">
        <v>357</v>
      </c>
      <c r="E112" s="271" t="s">
        <v>357</v>
      </c>
      <c r="F112" s="270" t="s">
        <v>902</v>
      </c>
      <c r="G112" s="272" t="s">
        <v>517</v>
      </c>
    </row>
    <row r="113" spans="1:7" ht="18" customHeight="1" x14ac:dyDescent="0.2">
      <c r="A113" s="266" t="s">
        <v>42</v>
      </c>
      <c r="B113" s="266" t="s">
        <v>36</v>
      </c>
      <c r="C113" s="266" t="s">
        <v>36</v>
      </c>
      <c r="D113" s="266" t="s">
        <v>357</v>
      </c>
      <c r="E113" s="266" t="s">
        <v>357</v>
      </c>
      <c r="F113" s="267" t="s">
        <v>903</v>
      </c>
      <c r="G113" s="268" t="s">
        <v>452</v>
      </c>
    </row>
    <row r="114" spans="1:7" ht="18" customHeight="1" x14ac:dyDescent="0.2">
      <c r="A114" s="266" t="s">
        <v>42</v>
      </c>
      <c r="B114" s="266" t="s">
        <v>36</v>
      </c>
      <c r="C114" s="266" t="s">
        <v>37</v>
      </c>
      <c r="D114" s="266" t="s">
        <v>357</v>
      </c>
      <c r="E114" s="266" t="s">
        <v>357</v>
      </c>
      <c r="F114" s="267" t="s">
        <v>904</v>
      </c>
      <c r="G114" s="268" t="s">
        <v>445</v>
      </c>
    </row>
    <row r="115" spans="1:7" ht="18" customHeight="1" x14ac:dyDescent="0.2">
      <c r="A115" s="266" t="s">
        <v>42</v>
      </c>
      <c r="B115" s="266" t="s">
        <v>36</v>
      </c>
      <c r="C115" s="266" t="s">
        <v>38</v>
      </c>
      <c r="D115" s="266" t="s">
        <v>357</v>
      </c>
      <c r="E115" s="266" t="s">
        <v>357</v>
      </c>
      <c r="F115" s="267" t="s">
        <v>905</v>
      </c>
      <c r="G115" s="268" t="s">
        <v>451</v>
      </c>
    </row>
    <row r="116" spans="1:7" ht="18" customHeight="1" x14ac:dyDescent="0.2">
      <c r="A116" s="266" t="s">
        <v>42</v>
      </c>
      <c r="B116" s="266" t="s">
        <v>36</v>
      </c>
      <c r="C116" s="266" t="s">
        <v>39</v>
      </c>
      <c r="D116" s="266" t="s">
        <v>357</v>
      </c>
      <c r="E116" s="266" t="s">
        <v>357</v>
      </c>
      <c r="F116" s="267" t="s">
        <v>906</v>
      </c>
      <c r="G116" s="268" t="s">
        <v>447</v>
      </c>
    </row>
    <row r="117" spans="1:7" ht="18" customHeight="1" x14ac:dyDescent="0.2">
      <c r="A117" s="266" t="s">
        <v>42</v>
      </c>
      <c r="B117" s="266" t="s">
        <v>36</v>
      </c>
      <c r="C117" s="266" t="s">
        <v>40</v>
      </c>
      <c r="D117" s="266" t="s">
        <v>357</v>
      </c>
      <c r="E117" s="266" t="s">
        <v>357</v>
      </c>
      <c r="F117" s="267" t="s">
        <v>907</v>
      </c>
      <c r="G117" s="268" t="s">
        <v>450</v>
      </c>
    </row>
    <row r="118" spans="1:7" ht="18" customHeight="1" x14ac:dyDescent="0.2">
      <c r="A118" s="266" t="s">
        <v>42</v>
      </c>
      <c r="B118" s="266" t="s">
        <v>36</v>
      </c>
      <c r="C118" s="266" t="s">
        <v>41</v>
      </c>
      <c r="D118" s="266" t="s">
        <v>357</v>
      </c>
      <c r="E118" s="266" t="s">
        <v>357</v>
      </c>
      <c r="F118" s="267" t="s">
        <v>908</v>
      </c>
      <c r="G118" s="268" t="s">
        <v>455</v>
      </c>
    </row>
    <row r="119" spans="1:7" ht="18" customHeight="1" x14ac:dyDescent="0.2">
      <c r="A119" s="266" t="s">
        <v>42</v>
      </c>
      <c r="B119" s="266" t="s">
        <v>36</v>
      </c>
      <c r="C119" s="266" t="s">
        <v>42</v>
      </c>
      <c r="D119" s="266" t="s">
        <v>357</v>
      </c>
      <c r="E119" s="266" t="s">
        <v>357</v>
      </c>
      <c r="F119" s="267" t="s">
        <v>909</v>
      </c>
      <c r="G119" s="268" t="s">
        <v>446</v>
      </c>
    </row>
    <row r="120" spans="1:7" ht="18" customHeight="1" x14ac:dyDescent="0.2">
      <c r="A120" s="266" t="s">
        <v>42</v>
      </c>
      <c r="B120" s="266" t="s">
        <v>36</v>
      </c>
      <c r="C120" s="266" t="s">
        <v>43</v>
      </c>
      <c r="D120" s="266" t="s">
        <v>357</v>
      </c>
      <c r="E120" s="266" t="s">
        <v>357</v>
      </c>
      <c r="F120" s="267" t="s">
        <v>910</v>
      </c>
      <c r="G120" s="268" t="s">
        <v>456</v>
      </c>
    </row>
    <row r="121" spans="1:7" ht="18" customHeight="1" x14ac:dyDescent="0.2">
      <c r="A121" s="266" t="s">
        <v>42</v>
      </c>
      <c r="B121" s="266" t="s">
        <v>36</v>
      </c>
      <c r="C121" s="266" t="s">
        <v>44</v>
      </c>
      <c r="D121" s="266" t="s">
        <v>357</v>
      </c>
      <c r="E121" s="266" t="s">
        <v>357</v>
      </c>
      <c r="F121" s="267" t="s">
        <v>911</v>
      </c>
      <c r="G121" s="268" t="s">
        <v>457</v>
      </c>
    </row>
    <row r="122" spans="1:7" ht="18" customHeight="1" x14ac:dyDescent="0.2">
      <c r="A122" s="266" t="s">
        <v>42</v>
      </c>
      <c r="B122" s="266" t="s">
        <v>36</v>
      </c>
      <c r="C122" s="266" t="s">
        <v>45</v>
      </c>
      <c r="D122" s="266" t="s">
        <v>357</v>
      </c>
      <c r="E122" s="266" t="s">
        <v>357</v>
      </c>
      <c r="F122" s="267" t="s">
        <v>912</v>
      </c>
      <c r="G122" s="268" t="s">
        <v>442</v>
      </c>
    </row>
    <row r="123" spans="1:7" ht="18" customHeight="1" x14ac:dyDescent="0.2">
      <c r="A123" s="266" t="s">
        <v>42</v>
      </c>
      <c r="B123" s="266" t="s">
        <v>36</v>
      </c>
      <c r="C123" s="266" t="s">
        <v>329</v>
      </c>
      <c r="D123" s="266" t="s">
        <v>357</v>
      </c>
      <c r="E123" s="266" t="s">
        <v>357</v>
      </c>
      <c r="F123" s="267" t="s">
        <v>913</v>
      </c>
      <c r="G123" s="268" t="s">
        <v>377</v>
      </c>
    </row>
    <row r="124" spans="1:7" ht="18" customHeight="1" x14ac:dyDescent="0.2">
      <c r="A124" s="271" t="s">
        <v>42</v>
      </c>
      <c r="B124" s="271" t="s">
        <v>37</v>
      </c>
      <c r="C124" s="271" t="s">
        <v>357</v>
      </c>
      <c r="D124" s="271" t="s">
        <v>357</v>
      </c>
      <c r="E124" s="271" t="s">
        <v>357</v>
      </c>
      <c r="F124" s="270" t="s">
        <v>914</v>
      </c>
      <c r="G124" s="272" t="s">
        <v>518</v>
      </c>
    </row>
    <row r="125" spans="1:7" ht="18" customHeight="1" x14ac:dyDescent="0.2">
      <c r="A125" s="266" t="s">
        <v>42</v>
      </c>
      <c r="B125" s="266" t="s">
        <v>37</v>
      </c>
      <c r="C125" s="266" t="s">
        <v>36</v>
      </c>
      <c r="D125" s="266" t="s">
        <v>357</v>
      </c>
      <c r="E125" s="266" t="s">
        <v>357</v>
      </c>
      <c r="F125" s="267" t="s">
        <v>915</v>
      </c>
      <c r="G125" s="268" t="s">
        <v>453</v>
      </c>
    </row>
    <row r="126" spans="1:7" ht="18" customHeight="1" x14ac:dyDescent="0.2">
      <c r="A126" s="266" t="s">
        <v>42</v>
      </c>
      <c r="B126" s="266" t="s">
        <v>37</v>
      </c>
      <c r="C126" s="266" t="s">
        <v>37</v>
      </c>
      <c r="D126" s="266" t="s">
        <v>357</v>
      </c>
      <c r="E126" s="266" t="s">
        <v>357</v>
      </c>
      <c r="F126" s="267" t="s">
        <v>916</v>
      </c>
      <c r="G126" s="268" t="s">
        <v>458</v>
      </c>
    </row>
    <row r="127" spans="1:7" ht="18" customHeight="1" x14ac:dyDescent="0.2">
      <c r="A127" s="266" t="s">
        <v>42</v>
      </c>
      <c r="B127" s="266" t="s">
        <v>37</v>
      </c>
      <c r="C127" s="266" t="s">
        <v>38</v>
      </c>
      <c r="D127" s="266" t="s">
        <v>357</v>
      </c>
      <c r="E127" s="266" t="s">
        <v>357</v>
      </c>
      <c r="F127" s="267" t="s">
        <v>917</v>
      </c>
      <c r="G127" s="268" t="s">
        <v>449</v>
      </c>
    </row>
    <row r="128" spans="1:7" ht="18" customHeight="1" x14ac:dyDescent="0.2">
      <c r="A128" s="266" t="s">
        <v>42</v>
      </c>
      <c r="B128" s="266" t="s">
        <v>37</v>
      </c>
      <c r="C128" s="266" t="s">
        <v>39</v>
      </c>
      <c r="D128" s="266" t="s">
        <v>357</v>
      </c>
      <c r="E128" s="266" t="s">
        <v>357</v>
      </c>
      <c r="F128" s="267" t="s">
        <v>918</v>
      </c>
      <c r="G128" s="268" t="s">
        <v>459</v>
      </c>
    </row>
    <row r="129" spans="1:7" ht="18" customHeight="1" x14ac:dyDescent="0.2">
      <c r="A129" s="266" t="s">
        <v>42</v>
      </c>
      <c r="B129" s="266" t="s">
        <v>37</v>
      </c>
      <c r="C129" s="266" t="s">
        <v>40</v>
      </c>
      <c r="D129" s="266" t="s">
        <v>357</v>
      </c>
      <c r="E129" s="266" t="s">
        <v>357</v>
      </c>
      <c r="F129" s="267" t="s">
        <v>919</v>
      </c>
      <c r="G129" s="268" t="s">
        <v>460</v>
      </c>
    </row>
    <row r="130" spans="1:7" ht="18" customHeight="1" x14ac:dyDescent="0.2">
      <c r="A130" s="266" t="s">
        <v>42</v>
      </c>
      <c r="B130" s="266" t="s">
        <v>37</v>
      </c>
      <c r="C130" s="266" t="s">
        <v>41</v>
      </c>
      <c r="D130" s="266" t="s">
        <v>357</v>
      </c>
      <c r="E130" s="266" t="s">
        <v>357</v>
      </c>
      <c r="F130" s="267" t="s">
        <v>920</v>
      </c>
      <c r="G130" s="268" t="s">
        <v>443</v>
      </c>
    </row>
    <row r="131" spans="1:7" ht="18" customHeight="1" x14ac:dyDescent="0.2">
      <c r="A131" s="266" t="s">
        <v>42</v>
      </c>
      <c r="B131" s="266" t="s">
        <v>37</v>
      </c>
      <c r="C131" s="266" t="s">
        <v>42</v>
      </c>
      <c r="D131" s="266" t="s">
        <v>357</v>
      </c>
      <c r="E131" s="266" t="s">
        <v>357</v>
      </c>
      <c r="F131" s="267" t="s">
        <v>921</v>
      </c>
      <c r="G131" s="268" t="s">
        <v>444</v>
      </c>
    </row>
    <row r="132" spans="1:7" ht="18" customHeight="1" x14ac:dyDescent="0.2">
      <c r="A132" s="266" t="s">
        <v>42</v>
      </c>
      <c r="B132" s="266" t="s">
        <v>37</v>
      </c>
      <c r="C132" s="266" t="s">
        <v>43</v>
      </c>
      <c r="D132" s="266" t="s">
        <v>357</v>
      </c>
      <c r="E132" s="266" t="s">
        <v>357</v>
      </c>
      <c r="F132" s="267" t="s">
        <v>922</v>
      </c>
      <c r="G132" s="268" t="s">
        <v>448</v>
      </c>
    </row>
    <row r="133" spans="1:7" ht="18" customHeight="1" x14ac:dyDescent="0.2">
      <c r="A133" s="266" t="s">
        <v>42</v>
      </c>
      <c r="B133" s="266" t="s">
        <v>37</v>
      </c>
      <c r="C133" s="266" t="s">
        <v>44</v>
      </c>
      <c r="D133" s="266" t="s">
        <v>357</v>
      </c>
      <c r="E133" s="266" t="s">
        <v>357</v>
      </c>
      <c r="F133" s="267" t="s">
        <v>923</v>
      </c>
      <c r="G133" s="268" t="s">
        <v>454</v>
      </c>
    </row>
    <row r="134" spans="1:7" ht="18" customHeight="1" x14ac:dyDescent="0.2">
      <c r="A134" s="266" t="s">
        <v>42</v>
      </c>
      <c r="B134" s="266" t="s">
        <v>37</v>
      </c>
      <c r="C134" s="266" t="s">
        <v>329</v>
      </c>
      <c r="D134" s="266" t="s">
        <v>357</v>
      </c>
      <c r="E134" s="266" t="s">
        <v>357</v>
      </c>
      <c r="F134" s="267" t="s">
        <v>924</v>
      </c>
      <c r="G134" s="268" t="s">
        <v>377</v>
      </c>
    </row>
    <row r="135" spans="1:7" ht="18" customHeight="1" x14ac:dyDescent="0.2">
      <c r="A135" s="271" t="s">
        <v>42</v>
      </c>
      <c r="B135" s="271" t="s">
        <v>38</v>
      </c>
      <c r="C135" s="271" t="s">
        <v>357</v>
      </c>
      <c r="D135" s="271" t="s">
        <v>357</v>
      </c>
      <c r="E135" s="271" t="s">
        <v>357</v>
      </c>
      <c r="F135" s="270" t="s">
        <v>925</v>
      </c>
      <c r="G135" s="272" t="s">
        <v>510</v>
      </c>
    </row>
    <row r="136" spans="1:7" ht="18" customHeight="1" x14ac:dyDescent="0.2">
      <c r="A136" s="266" t="s">
        <v>42</v>
      </c>
      <c r="B136" s="266" t="s">
        <v>38</v>
      </c>
      <c r="C136" s="266" t="s">
        <v>36</v>
      </c>
      <c r="D136" s="266" t="s">
        <v>357</v>
      </c>
      <c r="E136" s="266" t="s">
        <v>357</v>
      </c>
      <c r="F136" s="267" t="s">
        <v>926</v>
      </c>
      <c r="G136" s="268" t="s">
        <v>425</v>
      </c>
    </row>
    <row r="137" spans="1:7" ht="18" customHeight="1" x14ac:dyDescent="0.2">
      <c r="A137" s="266" t="s">
        <v>42</v>
      </c>
      <c r="B137" s="266" t="s">
        <v>38</v>
      </c>
      <c r="C137" s="266" t="s">
        <v>37</v>
      </c>
      <c r="D137" s="266" t="s">
        <v>357</v>
      </c>
      <c r="E137" s="266" t="s">
        <v>357</v>
      </c>
      <c r="F137" s="267" t="s">
        <v>927</v>
      </c>
      <c r="G137" s="268" t="s">
        <v>433</v>
      </c>
    </row>
    <row r="138" spans="1:7" ht="18" customHeight="1" x14ac:dyDescent="0.2">
      <c r="A138" s="266" t="s">
        <v>42</v>
      </c>
      <c r="B138" s="266" t="s">
        <v>38</v>
      </c>
      <c r="C138" s="266" t="s">
        <v>329</v>
      </c>
      <c r="D138" s="266" t="s">
        <v>357</v>
      </c>
      <c r="E138" s="266" t="s">
        <v>357</v>
      </c>
      <c r="F138" s="267" t="s">
        <v>928</v>
      </c>
      <c r="G138" s="268" t="s">
        <v>412</v>
      </c>
    </row>
    <row r="139" spans="1:7" ht="18" customHeight="1" x14ac:dyDescent="0.2">
      <c r="A139" s="231" t="s">
        <v>43</v>
      </c>
      <c r="B139" s="231" t="s">
        <v>357</v>
      </c>
      <c r="C139" s="231" t="s">
        <v>357</v>
      </c>
      <c r="D139" s="231" t="s">
        <v>357</v>
      </c>
      <c r="E139" s="231" t="s">
        <v>357</v>
      </c>
      <c r="F139" s="229" t="s">
        <v>929</v>
      </c>
      <c r="G139" s="230" t="s">
        <v>488</v>
      </c>
    </row>
    <row r="140" spans="1:7" ht="18" customHeight="1" x14ac:dyDescent="0.2">
      <c r="A140" s="271" t="s">
        <v>43</v>
      </c>
      <c r="B140" s="271" t="s">
        <v>36</v>
      </c>
      <c r="C140" s="271" t="s">
        <v>357</v>
      </c>
      <c r="D140" s="271" t="s">
        <v>357</v>
      </c>
      <c r="E140" s="271" t="s">
        <v>357</v>
      </c>
      <c r="F140" s="270" t="s">
        <v>930</v>
      </c>
      <c r="G140" s="272" t="s">
        <v>412</v>
      </c>
    </row>
    <row r="141" spans="1:7" ht="18" customHeight="1" x14ac:dyDescent="0.2">
      <c r="A141" s="266" t="s">
        <v>43</v>
      </c>
      <c r="B141" s="266" t="s">
        <v>36</v>
      </c>
      <c r="C141" s="266" t="s">
        <v>36</v>
      </c>
      <c r="D141" s="266" t="s">
        <v>357</v>
      </c>
      <c r="E141" s="266" t="s">
        <v>357</v>
      </c>
      <c r="F141" s="267" t="s">
        <v>931</v>
      </c>
      <c r="G141" s="268" t="s">
        <v>462</v>
      </c>
    </row>
    <row r="142" spans="1:7" ht="18" customHeight="1" x14ac:dyDescent="0.2">
      <c r="A142" s="266" t="s">
        <v>43</v>
      </c>
      <c r="B142" s="266" t="s">
        <v>36</v>
      </c>
      <c r="C142" s="266" t="s">
        <v>37</v>
      </c>
      <c r="D142" s="266" t="s">
        <v>357</v>
      </c>
      <c r="E142" s="266" t="s">
        <v>357</v>
      </c>
      <c r="F142" s="267" t="s">
        <v>932</v>
      </c>
      <c r="G142" s="268" t="s">
        <v>461</v>
      </c>
    </row>
    <row r="143" spans="1:7" ht="18" customHeight="1" x14ac:dyDescent="0.2">
      <c r="A143" s="266" t="s">
        <v>43</v>
      </c>
      <c r="B143" s="266" t="s">
        <v>36</v>
      </c>
      <c r="C143" s="266" t="s">
        <v>38</v>
      </c>
      <c r="D143" s="266" t="s">
        <v>357</v>
      </c>
      <c r="E143" s="266" t="s">
        <v>357</v>
      </c>
      <c r="F143" s="267" t="s">
        <v>933</v>
      </c>
      <c r="G143" s="268" t="s">
        <v>463</v>
      </c>
    </row>
    <row r="144" spans="1:7" ht="18" customHeight="1" x14ac:dyDescent="0.2">
      <c r="A144" s="266" t="s">
        <v>43</v>
      </c>
      <c r="B144" s="266" t="s">
        <v>36</v>
      </c>
      <c r="C144" s="266" t="s">
        <v>329</v>
      </c>
      <c r="D144" s="266" t="s">
        <v>357</v>
      </c>
      <c r="E144" s="266" t="s">
        <v>357</v>
      </c>
      <c r="F144" s="267" t="s">
        <v>934</v>
      </c>
      <c r="G144" s="268" t="s">
        <v>412</v>
      </c>
    </row>
    <row r="145" spans="1:7" ht="18" customHeight="1" x14ac:dyDescent="0.2">
      <c r="A145" s="231" t="s">
        <v>44</v>
      </c>
      <c r="B145" s="231" t="s">
        <v>357</v>
      </c>
      <c r="C145" s="231" t="s">
        <v>357</v>
      </c>
      <c r="D145" s="231" t="s">
        <v>357</v>
      </c>
      <c r="E145" s="231" t="s">
        <v>357</v>
      </c>
      <c r="F145" s="229" t="s">
        <v>935</v>
      </c>
      <c r="G145" s="230" t="s">
        <v>489</v>
      </c>
    </row>
    <row r="146" spans="1:7" ht="18" customHeight="1" x14ac:dyDescent="0.2">
      <c r="A146" s="271" t="s">
        <v>44</v>
      </c>
      <c r="B146" s="271" t="s">
        <v>36</v>
      </c>
      <c r="C146" s="271" t="s">
        <v>357</v>
      </c>
      <c r="D146" s="271" t="s">
        <v>357</v>
      </c>
      <c r="E146" s="271" t="s">
        <v>357</v>
      </c>
      <c r="F146" s="270" t="s">
        <v>936</v>
      </c>
      <c r="G146" s="272" t="s">
        <v>424</v>
      </c>
    </row>
    <row r="147" spans="1:7" ht="18" customHeight="1" x14ac:dyDescent="0.2">
      <c r="A147" s="266" t="s">
        <v>44</v>
      </c>
      <c r="B147" s="266" t="s">
        <v>36</v>
      </c>
      <c r="C147" s="266" t="s">
        <v>36</v>
      </c>
      <c r="D147" s="266" t="s">
        <v>357</v>
      </c>
      <c r="E147" s="266" t="s">
        <v>357</v>
      </c>
      <c r="F147" s="267" t="s">
        <v>937</v>
      </c>
      <c r="G147" s="268" t="s">
        <v>471</v>
      </c>
    </row>
    <row r="148" spans="1:7" ht="18" customHeight="1" x14ac:dyDescent="0.2">
      <c r="A148" s="266" t="s">
        <v>44</v>
      </c>
      <c r="B148" s="266" t="s">
        <v>36</v>
      </c>
      <c r="C148" s="266" t="s">
        <v>37</v>
      </c>
      <c r="D148" s="266" t="s">
        <v>357</v>
      </c>
      <c r="E148" s="266" t="s">
        <v>357</v>
      </c>
      <c r="F148" s="267" t="s">
        <v>938</v>
      </c>
      <c r="G148" s="268" t="s">
        <v>470</v>
      </c>
    </row>
    <row r="149" spans="1:7" ht="18" customHeight="1" x14ac:dyDescent="0.2">
      <c r="A149" s="266" t="s">
        <v>44</v>
      </c>
      <c r="B149" s="266" t="s">
        <v>36</v>
      </c>
      <c r="C149" s="266" t="s">
        <v>38</v>
      </c>
      <c r="D149" s="266" t="s">
        <v>357</v>
      </c>
      <c r="E149" s="266" t="s">
        <v>357</v>
      </c>
      <c r="F149" s="267" t="s">
        <v>939</v>
      </c>
      <c r="G149" s="268" t="s">
        <v>467</v>
      </c>
    </row>
    <row r="150" spans="1:7" ht="18" customHeight="1" x14ac:dyDescent="0.2">
      <c r="A150" s="266" t="s">
        <v>44</v>
      </c>
      <c r="B150" s="266" t="s">
        <v>36</v>
      </c>
      <c r="C150" s="266" t="s">
        <v>39</v>
      </c>
      <c r="D150" s="266" t="s">
        <v>357</v>
      </c>
      <c r="E150" s="266" t="s">
        <v>357</v>
      </c>
      <c r="F150" s="267" t="s">
        <v>940</v>
      </c>
      <c r="G150" s="268" t="s">
        <v>472</v>
      </c>
    </row>
    <row r="151" spans="1:7" ht="18" customHeight="1" x14ac:dyDescent="0.2">
      <c r="A151" s="266" t="s">
        <v>44</v>
      </c>
      <c r="B151" s="266" t="s">
        <v>36</v>
      </c>
      <c r="C151" s="266" t="s">
        <v>40</v>
      </c>
      <c r="D151" s="266" t="s">
        <v>357</v>
      </c>
      <c r="E151" s="266" t="s">
        <v>357</v>
      </c>
      <c r="F151" s="267" t="s">
        <v>941</v>
      </c>
      <c r="G151" s="268" t="s">
        <v>465</v>
      </c>
    </row>
    <row r="152" spans="1:7" ht="18" customHeight="1" x14ac:dyDescent="0.2">
      <c r="A152" s="266" t="s">
        <v>44</v>
      </c>
      <c r="B152" s="266" t="s">
        <v>36</v>
      </c>
      <c r="C152" s="266" t="s">
        <v>41</v>
      </c>
      <c r="D152" s="266" t="s">
        <v>357</v>
      </c>
      <c r="E152" s="266" t="s">
        <v>357</v>
      </c>
      <c r="F152" s="267" t="s">
        <v>942</v>
      </c>
      <c r="G152" s="268" t="s">
        <v>474</v>
      </c>
    </row>
    <row r="153" spans="1:7" ht="18" customHeight="1" x14ac:dyDescent="0.2">
      <c r="A153" s="266" t="s">
        <v>44</v>
      </c>
      <c r="B153" s="266" t="s">
        <v>36</v>
      </c>
      <c r="C153" s="266" t="s">
        <v>42</v>
      </c>
      <c r="D153" s="266" t="s">
        <v>357</v>
      </c>
      <c r="E153" s="266" t="s">
        <v>357</v>
      </c>
      <c r="F153" s="267" t="s">
        <v>943</v>
      </c>
      <c r="G153" s="268" t="s">
        <v>468</v>
      </c>
    </row>
    <row r="154" spans="1:7" ht="18" customHeight="1" x14ac:dyDescent="0.2">
      <c r="A154" s="266" t="s">
        <v>44</v>
      </c>
      <c r="B154" s="266" t="s">
        <v>36</v>
      </c>
      <c r="C154" s="266" t="s">
        <v>43</v>
      </c>
      <c r="D154" s="266" t="s">
        <v>357</v>
      </c>
      <c r="E154" s="266" t="s">
        <v>357</v>
      </c>
      <c r="F154" s="267" t="s">
        <v>944</v>
      </c>
      <c r="G154" s="268" t="s">
        <v>473</v>
      </c>
    </row>
    <row r="155" spans="1:7" ht="18" customHeight="1" x14ac:dyDescent="0.2">
      <c r="A155" s="266" t="s">
        <v>44</v>
      </c>
      <c r="B155" s="266" t="s">
        <v>36</v>
      </c>
      <c r="C155" s="266" t="s">
        <v>44</v>
      </c>
      <c r="D155" s="266" t="s">
        <v>357</v>
      </c>
      <c r="E155" s="266" t="s">
        <v>357</v>
      </c>
      <c r="F155" s="267" t="s">
        <v>945</v>
      </c>
      <c r="G155" s="268" t="s">
        <v>464</v>
      </c>
    </row>
    <row r="156" spans="1:7" ht="18" customHeight="1" x14ac:dyDescent="0.2">
      <c r="A156" s="266" t="s">
        <v>44</v>
      </c>
      <c r="B156" s="266" t="s">
        <v>36</v>
      </c>
      <c r="C156" s="266" t="s">
        <v>45</v>
      </c>
      <c r="D156" s="266" t="s">
        <v>357</v>
      </c>
      <c r="E156" s="266" t="s">
        <v>357</v>
      </c>
      <c r="F156" s="267" t="s">
        <v>946</v>
      </c>
      <c r="G156" s="268" t="s">
        <v>466</v>
      </c>
    </row>
    <row r="157" spans="1:7" ht="18" customHeight="1" x14ac:dyDescent="0.2">
      <c r="A157" s="266" t="s">
        <v>44</v>
      </c>
      <c r="B157" s="266" t="s">
        <v>36</v>
      </c>
      <c r="C157" s="266" t="s">
        <v>288</v>
      </c>
      <c r="D157" s="266" t="s">
        <v>357</v>
      </c>
      <c r="E157" s="266" t="s">
        <v>357</v>
      </c>
      <c r="F157" s="267" t="s">
        <v>947</v>
      </c>
      <c r="G157" s="268" t="s">
        <v>469</v>
      </c>
    </row>
    <row r="158" spans="1:7" ht="18" customHeight="1" x14ac:dyDescent="0.2">
      <c r="A158" s="266" t="s">
        <v>44</v>
      </c>
      <c r="B158" s="266" t="s">
        <v>36</v>
      </c>
      <c r="C158" s="266" t="s">
        <v>290</v>
      </c>
      <c r="D158" s="266" t="s">
        <v>357</v>
      </c>
      <c r="E158" s="266" t="s">
        <v>357</v>
      </c>
      <c r="F158" s="267" t="s">
        <v>948</v>
      </c>
      <c r="G158" s="268" t="s">
        <v>475</v>
      </c>
    </row>
    <row r="159" spans="1:7" ht="18" customHeight="1" x14ac:dyDescent="0.2">
      <c r="A159" s="271" t="s">
        <v>44</v>
      </c>
      <c r="B159" s="271" t="s">
        <v>37</v>
      </c>
      <c r="C159" s="271" t="s">
        <v>357</v>
      </c>
      <c r="D159" s="271" t="s">
        <v>357</v>
      </c>
      <c r="E159" s="271" t="s">
        <v>357</v>
      </c>
      <c r="F159" s="270" t="s">
        <v>949</v>
      </c>
      <c r="G159" s="272" t="s">
        <v>425</v>
      </c>
    </row>
    <row r="160" spans="1:7" ht="18" customHeight="1" x14ac:dyDescent="0.2">
      <c r="A160" s="266" t="s">
        <v>44</v>
      </c>
      <c r="B160" s="266" t="s">
        <v>37</v>
      </c>
      <c r="C160" s="266" t="s">
        <v>36</v>
      </c>
      <c r="D160" s="266" t="s">
        <v>357</v>
      </c>
      <c r="E160" s="266" t="s">
        <v>357</v>
      </c>
      <c r="F160" s="267" t="s">
        <v>950</v>
      </c>
      <c r="G160" s="268" t="s">
        <v>471</v>
      </c>
    </row>
    <row r="161" spans="1:7" ht="18" customHeight="1" x14ac:dyDescent="0.2">
      <c r="A161" s="266" t="s">
        <v>44</v>
      </c>
      <c r="B161" s="266" t="s">
        <v>37</v>
      </c>
      <c r="C161" s="266" t="s">
        <v>37</v>
      </c>
      <c r="D161" s="266" t="s">
        <v>357</v>
      </c>
      <c r="E161" s="266" t="s">
        <v>357</v>
      </c>
      <c r="F161" s="267" t="s">
        <v>951</v>
      </c>
      <c r="G161" s="268" t="s">
        <v>470</v>
      </c>
    </row>
    <row r="162" spans="1:7" ht="18" customHeight="1" x14ac:dyDescent="0.2">
      <c r="A162" s="266" t="s">
        <v>44</v>
      </c>
      <c r="B162" s="266" t="s">
        <v>37</v>
      </c>
      <c r="C162" s="266" t="s">
        <v>38</v>
      </c>
      <c r="D162" s="266" t="s">
        <v>357</v>
      </c>
      <c r="E162" s="266" t="s">
        <v>357</v>
      </c>
      <c r="F162" s="267" t="s">
        <v>952</v>
      </c>
      <c r="G162" s="268" t="s">
        <v>467</v>
      </c>
    </row>
    <row r="163" spans="1:7" ht="18" customHeight="1" x14ac:dyDescent="0.2">
      <c r="A163" s="266" t="s">
        <v>44</v>
      </c>
      <c r="B163" s="266" t="s">
        <v>37</v>
      </c>
      <c r="C163" s="266" t="s">
        <v>39</v>
      </c>
      <c r="D163" s="266" t="s">
        <v>357</v>
      </c>
      <c r="E163" s="266" t="s">
        <v>357</v>
      </c>
      <c r="F163" s="267" t="s">
        <v>953</v>
      </c>
      <c r="G163" s="268" t="s">
        <v>472</v>
      </c>
    </row>
    <row r="164" spans="1:7" ht="18" customHeight="1" x14ac:dyDescent="0.2">
      <c r="A164" s="266" t="s">
        <v>44</v>
      </c>
      <c r="B164" s="266" t="s">
        <v>37</v>
      </c>
      <c r="C164" s="266" t="s">
        <v>40</v>
      </c>
      <c r="D164" s="266" t="s">
        <v>357</v>
      </c>
      <c r="E164" s="266" t="s">
        <v>357</v>
      </c>
      <c r="F164" s="267" t="s">
        <v>954</v>
      </c>
      <c r="G164" s="268" t="s">
        <v>465</v>
      </c>
    </row>
    <row r="165" spans="1:7" ht="18" customHeight="1" x14ac:dyDescent="0.2">
      <c r="A165" s="266" t="s">
        <v>44</v>
      </c>
      <c r="B165" s="266" t="s">
        <v>37</v>
      </c>
      <c r="C165" s="266" t="s">
        <v>41</v>
      </c>
      <c r="D165" s="266" t="s">
        <v>357</v>
      </c>
      <c r="E165" s="266" t="s">
        <v>357</v>
      </c>
      <c r="F165" s="267" t="s">
        <v>955</v>
      </c>
      <c r="G165" s="268" t="s">
        <v>474</v>
      </c>
    </row>
    <row r="166" spans="1:7" ht="18" customHeight="1" x14ac:dyDescent="0.2">
      <c r="A166" s="266" t="s">
        <v>44</v>
      </c>
      <c r="B166" s="266" t="s">
        <v>37</v>
      </c>
      <c r="C166" s="266" t="s">
        <v>42</v>
      </c>
      <c r="D166" s="266" t="s">
        <v>357</v>
      </c>
      <c r="E166" s="266" t="s">
        <v>357</v>
      </c>
      <c r="F166" s="267" t="s">
        <v>956</v>
      </c>
      <c r="G166" s="268" t="s">
        <v>468</v>
      </c>
    </row>
    <row r="167" spans="1:7" ht="18" customHeight="1" x14ac:dyDescent="0.2">
      <c r="A167" s="266" t="s">
        <v>44</v>
      </c>
      <c r="B167" s="266" t="s">
        <v>37</v>
      </c>
      <c r="C167" s="266" t="s">
        <v>43</v>
      </c>
      <c r="D167" s="266" t="s">
        <v>357</v>
      </c>
      <c r="E167" s="266" t="s">
        <v>357</v>
      </c>
      <c r="F167" s="267" t="s">
        <v>957</v>
      </c>
      <c r="G167" s="268" t="s">
        <v>473</v>
      </c>
    </row>
    <row r="168" spans="1:7" ht="18" customHeight="1" x14ac:dyDescent="0.2">
      <c r="A168" s="266" t="s">
        <v>44</v>
      </c>
      <c r="B168" s="266" t="s">
        <v>37</v>
      </c>
      <c r="C168" s="266" t="s">
        <v>44</v>
      </c>
      <c r="D168" s="266" t="s">
        <v>357</v>
      </c>
      <c r="E168" s="266" t="s">
        <v>357</v>
      </c>
      <c r="F168" s="267" t="s">
        <v>958</v>
      </c>
      <c r="G168" s="268" t="s">
        <v>464</v>
      </c>
    </row>
    <row r="169" spans="1:7" ht="18" customHeight="1" x14ac:dyDescent="0.2">
      <c r="A169" s="266" t="s">
        <v>44</v>
      </c>
      <c r="B169" s="266" t="s">
        <v>37</v>
      </c>
      <c r="C169" s="266" t="s">
        <v>45</v>
      </c>
      <c r="D169" s="266" t="s">
        <v>357</v>
      </c>
      <c r="E169" s="266" t="s">
        <v>357</v>
      </c>
      <c r="F169" s="267" t="s">
        <v>959</v>
      </c>
      <c r="G169" s="268" t="s">
        <v>466</v>
      </c>
    </row>
    <row r="170" spans="1:7" ht="18" customHeight="1" x14ac:dyDescent="0.2">
      <c r="A170" s="266" t="s">
        <v>44</v>
      </c>
      <c r="B170" s="266" t="s">
        <v>37</v>
      </c>
      <c r="C170" s="266" t="s">
        <v>288</v>
      </c>
      <c r="D170" s="266" t="s">
        <v>357</v>
      </c>
      <c r="E170" s="266" t="s">
        <v>357</v>
      </c>
      <c r="F170" s="267" t="s">
        <v>960</v>
      </c>
      <c r="G170" s="268" t="s">
        <v>469</v>
      </c>
    </row>
    <row r="171" spans="1:7" ht="18" customHeight="1" x14ac:dyDescent="0.2">
      <c r="A171" s="266" t="s">
        <v>44</v>
      </c>
      <c r="B171" s="266" t="s">
        <v>37</v>
      </c>
      <c r="C171" s="266" t="s">
        <v>290</v>
      </c>
      <c r="D171" s="266" t="s">
        <v>357</v>
      </c>
      <c r="E171" s="266" t="s">
        <v>357</v>
      </c>
      <c r="F171" s="267" t="s">
        <v>961</v>
      </c>
      <c r="G171" s="268" t="s">
        <v>475</v>
      </c>
    </row>
    <row r="172" spans="1:7" ht="18" customHeight="1" x14ac:dyDescent="0.2">
      <c r="A172" s="271" t="s">
        <v>44</v>
      </c>
      <c r="B172" s="271" t="s">
        <v>38</v>
      </c>
      <c r="C172" s="271" t="s">
        <v>357</v>
      </c>
      <c r="D172" s="271" t="s">
        <v>357</v>
      </c>
      <c r="E172" s="271" t="s">
        <v>357</v>
      </c>
      <c r="F172" s="270" t="s">
        <v>962</v>
      </c>
      <c r="G172" s="272" t="s">
        <v>433</v>
      </c>
    </row>
    <row r="173" spans="1:7" ht="18" customHeight="1" x14ac:dyDescent="0.2">
      <c r="A173" s="266" t="s">
        <v>44</v>
      </c>
      <c r="B173" s="266" t="s">
        <v>38</v>
      </c>
      <c r="C173" s="266" t="s">
        <v>36</v>
      </c>
      <c r="D173" s="266" t="s">
        <v>357</v>
      </c>
      <c r="E173" s="266" t="s">
        <v>357</v>
      </c>
      <c r="F173" s="267" t="s">
        <v>963</v>
      </c>
      <c r="G173" s="268" t="s">
        <v>471</v>
      </c>
    </row>
    <row r="174" spans="1:7" ht="18" customHeight="1" x14ac:dyDescent="0.2">
      <c r="A174" s="266" t="s">
        <v>44</v>
      </c>
      <c r="B174" s="266" t="s">
        <v>38</v>
      </c>
      <c r="C174" s="266" t="s">
        <v>37</v>
      </c>
      <c r="D174" s="266" t="s">
        <v>357</v>
      </c>
      <c r="E174" s="266" t="s">
        <v>357</v>
      </c>
      <c r="F174" s="267" t="s">
        <v>964</v>
      </c>
      <c r="G174" s="268" t="s">
        <v>470</v>
      </c>
    </row>
    <row r="175" spans="1:7" ht="18" customHeight="1" x14ac:dyDescent="0.2">
      <c r="A175" s="266" t="s">
        <v>44</v>
      </c>
      <c r="B175" s="266" t="s">
        <v>38</v>
      </c>
      <c r="C175" s="266" t="s">
        <v>38</v>
      </c>
      <c r="D175" s="266" t="s">
        <v>357</v>
      </c>
      <c r="E175" s="266" t="s">
        <v>357</v>
      </c>
      <c r="F175" s="267" t="s">
        <v>965</v>
      </c>
      <c r="G175" s="268" t="s">
        <v>467</v>
      </c>
    </row>
    <row r="176" spans="1:7" ht="18" customHeight="1" x14ac:dyDescent="0.2">
      <c r="A176" s="266" t="s">
        <v>44</v>
      </c>
      <c r="B176" s="266" t="s">
        <v>38</v>
      </c>
      <c r="C176" s="266" t="s">
        <v>39</v>
      </c>
      <c r="D176" s="266" t="s">
        <v>357</v>
      </c>
      <c r="E176" s="266" t="s">
        <v>357</v>
      </c>
      <c r="F176" s="267" t="s">
        <v>966</v>
      </c>
      <c r="G176" s="268" t="s">
        <v>472</v>
      </c>
    </row>
    <row r="177" spans="1:7" ht="18" customHeight="1" x14ac:dyDescent="0.2">
      <c r="A177" s="266" t="s">
        <v>44</v>
      </c>
      <c r="B177" s="266" t="s">
        <v>38</v>
      </c>
      <c r="C177" s="266" t="s">
        <v>40</v>
      </c>
      <c r="D177" s="266" t="s">
        <v>357</v>
      </c>
      <c r="E177" s="266" t="s">
        <v>357</v>
      </c>
      <c r="F177" s="267" t="s">
        <v>967</v>
      </c>
      <c r="G177" s="268" t="s">
        <v>465</v>
      </c>
    </row>
    <row r="178" spans="1:7" ht="18" customHeight="1" x14ac:dyDescent="0.2">
      <c r="A178" s="266" t="s">
        <v>44</v>
      </c>
      <c r="B178" s="266" t="s">
        <v>38</v>
      </c>
      <c r="C178" s="266" t="s">
        <v>41</v>
      </c>
      <c r="D178" s="266" t="s">
        <v>357</v>
      </c>
      <c r="E178" s="266" t="s">
        <v>357</v>
      </c>
      <c r="F178" s="267" t="s">
        <v>968</v>
      </c>
      <c r="G178" s="268" t="s">
        <v>474</v>
      </c>
    </row>
    <row r="179" spans="1:7" ht="18" customHeight="1" x14ac:dyDescent="0.2">
      <c r="A179" s="266" t="s">
        <v>44</v>
      </c>
      <c r="B179" s="266" t="s">
        <v>38</v>
      </c>
      <c r="C179" s="266" t="s">
        <v>42</v>
      </c>
      <c r="D179" s="266" t="s">
        <v>357</v>
      </c>
      <c r="E179" s="266" t="s">
        <v>357</v>
      </c>
      <c r="F179" s="267" t="s">
        <v>969</v>
      </c>
      <c r="G179" s="268" t="s">
        <v>468</v>
      </c>
    </row>
    <row r="180" spans="1:7" ht="18" customHeight="1" x14ac:dyDescent="0.2">
      <c r="A180" s="266" t="s">
        <v>44</v>
      </c>
      <c r="B180" s="266" t="s">
        <v>38</v>
      </c>
      <c r="C180" s="266" t="s">
        <v>43</v>
      </c>
      <c r="D180" s="266" t="s">
        <v>357</v>
      </c>
      <c r="E180" s="266" t="s">
        <v>357</v>
      </c>
      <c r="F180" s="267" t="s">
        <v>970</v>
      </c>
      <c r="G180" s="268" t="s">
        <v>473</v>
      </c>
    </row>
    <row r="181" spans="1:7" ht="18" customHeight="1" x14ac:dyDescent="0.2">
      <c r="A181" s="266" t="s">
        <v>44</v>
      </c>
      <c r="B181" s="266" t="s">
        <v>38</v>
      </c>
      <c r="C181" s="266" t="s">
        <v>44</v>
      </c>
      <c r="D181" s="266" t="s">
        <v>357</v>
      </c>
      <c r="E181" s="266" t="s">
        <v>357</v>
      </c>
      <c r="F181" s="267" t="s">
        <v>971</v>
      </c>
      <c r="G181" s="268" t="s">
        <v>464</v>
      </c>
    </row>
    <row r="182" spans="1:7" ht="18" customHeight="1" x14ac:dyDescent="0.2">
      <c r="A182" s="266" t="s">
        <v>44</v>
      </c>
      <c r="B182" s="266" t="s">
        <v>38</v>
      </c>
      <c r="C182" s="266" t="s">
        <v>45</v>
      </c>
      <c r="D182" s="266" t="s">
        <v>357</v>
      </c>
      <c r="E182" s="266" t="s">
        <v>357</v>
      </c>
      <c r="F182" s="267" t="s">
        <v>972</v>
      </c>
      <c r="G182" s="268" t="s">
        <v>466</v>
      </c>
    </row>
    <row r="183" spans="1:7" ht="18" customHeight="1" x14ac:dyDescent="0.2">
      <c r="A183" s="266" t="s">
        <v>44</v>
      </c>
      <c r="B183" s="266" t="s">
        <v>38</v>
      </c>
      <c r="C183" s="266" t="s">
        <v>288</v>
      </c>
      <c r="D183" s="266" t="s">
        <v>357</v>
      </c>
      <c r="E183" s="266" t="s">
        <v>357</v>
      </c>
      <c r="F183" s="267" t="s">
        <v>973</v>
      </c>
      <c r="G183" s="268" t="s">
        <v>469</v>
      </c>
    </row>
    <row r="184" spans="1:7" ht="18" customHeight="1" x14ac:dyDescent="0.2">
      <c r="A184" s="266" t="s">
        <v>44</v>
      </c>
      <c r="B184" s="266" t="s">
        <v>38</v>
      </c>
      <c r="C184" s="266" t="s">
        <v>290</v>
      </c>
      <c r="D184" s="266" t="s">
        <v>357</v>
      </c>
      <c r="E184" s="266" t="s">
        <v>357</v>
      </c>
      <c r="F184" s="267" t="s">
        <v>974</v>
      </c>
      <c r="G184" s="268" t="s">
        <v>475</v>
      </c>
    </row>
    <row r="185" spans="1:7" ht="18" customHeight="1" x14ac:dyDescent="0.2">
      <c r="A185" s="271" t="s">
        <v>44</v>
      </c>
      <c r="B185" s="271" t="s">
        <v>39</v>
      </c>
      <c r="C185" s="271" t="s">
        <v>357</v>
      </c>
      <c r="D185" s="271" t="s">
        <v>357</v>
      </c>
      <c r="E185" s="271" t="s">
        <v>357</v>
      </c>
      <c r="F185" s="270" t="s">
        <v>975</v>
      </c>
      <c r="G185" s="272" t="s">
        <v>519</v>
      </c>
    </row>
    <row r="186" spans="1:7" ht="18" customHeight="1" x14ac:dyDescent="0.2">
      <c r="A186" s="266" t="s">
        <v>44</v>
      </c>
      <c r="B186" s="266" t="s">
        <v>39</v>
      </c>
      <c r="C186" s="266" t="s">
        <v>36</v>
      </c>
      <c r="D186" s="266" t="s">
        <v>357</v>
      </c>
      <c r="E186" s="266" t="s">
        <v>357</v>
      </c>
      <c r="F186" s="267" t="s">
        <v>976</v>
      </c>
      <c r="G186" s="268" t="s">
        <v>471</v>
      </c>
    </row>
    <row r="187" spans="1:7" ht="18" customHeight="1" x14ac:dyDescent="0.2">
      <c r="A187" s="266" t="s">
        <v>44</v>
      </c>
      <c r="B187" s="266" t="s">
        <v>39</v>
      </c>
      <c r="C187" s="266" t="s">
        <v>37</v>
      </c>
      <c r="D187" s="266" t="s">
        <v>357</v>
      </c>
      <c r="E187" s="266" t="s">
        <v>357</v>
      </c>
      <c r="F187" s="267" t="s">
        <v>977</v>
      </c>
      <c r="G187" s="268" t="s">
        <v>470</v>
      </c>
    </row>
    <row r="188" spans="1:7" ht="18" customHeight="1" x14ac:dyDescent="0.2">
      <c r="A188" s="266" t="s">
        <v>44</v>
      </c>
      <c r="B188" s="266" t="s">
        <v>39</v>
      </c>
      <c r="C188" s="266" t="s">
        <v>38</v>
      </c>
      <c r="D188" s="266" t="s">
        <v>357</v>
      </c>
      <c r="E188" s="266" t="s">
        <v>357</v>
      </c>
      <c r="F188" s="267" t="s">
        <v>978</v>
      </c>
      <c r="G188" s="268" t="s">
        <v>467</v>
      </c>
    </row>
    <row r="189" spans="1:7" ht="18" customHeight="1" x14ac:dyDescent="0.2">
      <c r="A189" s="266" t="s">
        <v>44</v>
      </c>
      <c r="B189" s="266" t="s">
        <v>39</v>
      </c>
      <c r="C189" s="266" t="s">
        <v>39</v>
      </c>
      <c r="D189" s="266" t="s">
        <v>357</v>
      </c>
      <c r="E189" s="266" t="s">
        <v>357</v>
      </c>
      <c r="F189" s="267" t="s">
        <v>979</v>
      </c>
      <c r="G189" s="268" t="s">
        <v>472</v>
      </c>
    </row>
    <row r="190" spans="1:7" ht="18" customHeight="1" x14ac:dyDescent="0.2">
      <c r="A190" s="266" t="s">
        <v>44</v>
      </c>
      <c r="B190" s="266" t="s">
        <v>39</v>
      </c>
      <c r="C190" s="266" t="s">
        <v>40</v>
      </c>
      <c r="D190" s="266" t="s">
        <v>357</v>
      </c>
      <c r="E190" s="266" t="s">
        <v>357</v>
      </c>
      <c r="F190" s="267" t="s">
        <v>980</v>
      </c>
      <c r="G190" s="268" t="s">
        <v>465</v>
      </c>
    </row>
    <row r="191" spans="1:7" ht="18" customHeight="1" x14ac:dyDescent="0.2">
      <c r="A191" s="266" t="s">
        <v>44</v>
      </c>
      <c r="B191" s="266" t="s">
        <v>39</v>
      </c>
      <c r="C191" s="266" t="s">
        <v>41</v>
      </c>
      <c r="D191" s="266" t="s">
        <v>357</v>
      </c>
      <c r="E191" s="266" t="s">
        <v>357</v>
      </c>
      <c r="F191" s="267" t="s">
        <v>981</v>
      </c>
      <c r="G191" s="268" t="s">
        <v>474</v>
      </c>
    </row>
    <row r="192" spans="1:7" ht="18" customHeight="1" x14ac:dyDescent="0.2">
      <c r="A192" s="266" t="s">
        <v>44</v>
      </c>
      <c r="B192" s="266" t="s">
        <v>39</v>
      </c>
      <c r="C192" s="266" t="s">
        <v>42</v>
      </c>
      <c r="D192" s="266" t="s">
        <v>357</v>
      </c>
      <c r="E192" s="266" t="s">
        <v>357</v>
      </c>
      <c r="F192" s="267" t="s">
        <v>982</v>
      </c>
      <c r="G192" s="268" t="s">
        <v>468</v>
      </c>
    </row>
    <row r="193" spans="1:7" ht="18" customHeight="1" x14ac:dyDescent="0.2">
      <c r="A193" s="266" t="s">
        <v>44</v>
      </c>
      <c r="B193" s="266" t="s">
        <v>39</v>
      </c>
      <c r="C193" s="266" t="s">
        <v>43</v>
      </c>
      <c r="D193" s="266" t="s">
        <v>357</v>
      </c>
      <c r="E193" s="266" t="s">
        <v>357</v>
      </c>
      <c r="F193" s="267" t="s">
        <v>983</v>
      </c>
      <c r="G193" s="268" t="s">
        <v>473</v>
      </c>
    </row>
    <row r="194" spans="1:7" ht="18" customHeight="1" x14ac:dyDescent="0.2">
      <c r="A194" s="266" t="s">
        <v>44</v>
      </c>
      <c r="B194" s="266" t="s">
        <v>39</v>
      </c>
      <c r="C194" s="266" t="s">
        <v>44</v>
      </c>
      <c r="D194" s="266" t="s">
        <v>357</v>
      </c>
      <c r="E194" s="266" t="s">
        <v>357</v>
      </c>
      <c r="F194" s="267" t="s">
        <v>984</v>
      </c>
      <c r="G194" s="268" t="s">
        <v>464</v>
      </c>
    </row>
    <row r="195" spans="1:7" ht="18" customHeight="1" x14ac:dyDescent="0.2">
      <c r="A195" s="266" t="s">
        <v>44</v>
      </c>
      <c r="B195" s="266" t="s">
        <v>39</v>
      </c>
      <c r="C195" s="266" t="s">
        <v>45</v>
      </c>
      <c r="D195" s="266" t="s">
        <v>357</v>
      </c>
      <c r="E195" s="266" t="s">
        <v>357</v>
      </c>
      <c r="F195" s="267" t="s">
        <v>985</v>
      </c>
      <c r="G195" s="268" t="s">
        <v>466</v>
      </c>
    </row>
    <row r="196" spans="1:7" ht="18" customHeight="1" x14ac:dyDescent="0.2">
      <c r="A196" s="266" t="s">
        <v>44</v>
      </c>
      <c r="B196" s="266" t="s">
        <v>39</v>
      </c>
      <c r="C196" s="266" t="s">
        <v>288</v>
      </c>
      <c r="D196" s="266" t="s">
        <v>357</v>
      </c>
      <c r="E196" s="266" t="s">
        <v>357</v>
      </c>
      <c r="F196" s="267" t="s">
        <v>986</v>
      </c>
      <c r="G196" s="268" t="s">
        <v>469</v>
      </c>
    </row>
    <row r="197" spans="1:7" ht="18" customHeight="1" x14ac:dyDescent="0.2">
      <c r="A197" s="266" t="s">
        <v>44</v>
      </c>
      <c r="B197" s="266" t="s">
        <v>39</v>
      </c>
      <c r="C197" s="266" t="s">
        <v>290</v>
      </c>
      <c r="D197" s="266" t="s">
        <v>357</v>
      </c>
      <c r="E197" s="266" t="s">
        <v>357</v>
      </c>
      <c r="F197" s="267" t="s">
        <v>987</v>
      </c>
      <c r="G197" s="268" t="s">
        <v>475</v>
      </c>
    </row>
    <row r="198" spans="1:7" ht="18" customHeight="1" x14ac:dyDescent="0.2">
      <c r="A198" s="231" t="s">
        <v>45</v>
      </c>
      <c r="B198" s="231" t="s">
        <v>357</v>
      </c>
      <c r="C198" s="231" t="s">
        <v>357</v>
      </c>
      <c r="D198" s="231" t="s">
        <v>357</v>
      </c>
      <c r="E198" s="231" t="s">
        <v>357</v>
      </c>
      <c r="F198" s="229" t="s">
        <v>988</v>
      </c>
      <c r="G198" s="230" t="s">
        <v>490</v>
      </c>
    </row>
    <row r="199" spans="1:7" ht="18" customHeight="1" x14ac:dyDescent="0.2">
      <c r="A199" s="271" t="s">
        <v>45</v>
      </c>
      <c r="B199" s="271" t="s">
        <v>36</v>
      </c>
      <c r="C199" s="271" t="s">
        <v>357</v>
      </c>
      <c r="D199" s="271" t="s">
        <v>357</v>
      </c>
      <c r="E199" s="271" t="s">
        <v>357</v>
      </c>
      <c r="F199" s="270" t="s">
        <v>989</v>
      </c>
      <c r="G199" s="272" t="s">
        <v>511</v>
      </c>
    </row>
    <row r="200" spans="1:7" ht="18" customHeight="1" x14ac:dyDescent="0.2">
      <c r="A200" s="266" t="s">
        <v>45</v>
      </c>
      <c r="B200" s="266" t="s">
        <v>36</v>
      </c>
      <c r="C200" s="266" t="s">
        <v>36</v>
      </c>
      <c r="D200" s="266" t="s">
        <v>357</v>
      </c>
      <c r="E200" s="266" t="s">
        <v>357</v>
      </c>
      <c r="F200" s="267" t="s">
        <v>990</v>
      </c>
      <c r="G200" s="268" t="s">
        <v>423</v>
      </c>
    </row>
    <row r="201" spans="1:7" ht="18" customHeight="1" x14ac:dyDescent="0.2">
      <c r="A201" s="266" t="s">
        <v>45</v>
      </c>
      <c r="B201" s="266" t="s">
        <v>36</v>
      </c>
      <c r="C201" s="266" t="s">
        <v>37</v>
      </c>
      <c r="D201" s="266" t="s">
        <v>357</v>
      </c>
      <c r="E201" s="266" t="s">
        <v>357</v>
      </c>
      <c r="F201" s="267" t="s">
        <v>991</v>
      </c>
      <c r="G201" s="268" t="s">
        <v>420</v>
      </c>
    </row>
    <row r="202" spans="1:7" ht="18" customHeight="1" x14ac:dyDescent="0.2">
      <c r="A202" s="271" t="s">
        <v>45</v>
      </c>
      <c r="B202" s="271" t="s">
        <v>38</v>
      </c>
      <c r="C202" s="271" t="s">
        <v>357</v>
      </c>
      <c r="D202" s="271" t="s">
        <v>357</v>
      </c>
      <c r="E202" s="271" t="s">
        <v>357</v>
      </c>
      <c r="F202" s="270" t="s">
        <v>992</v>
      </c>
      <c r="G202" s="272" t="s">
        <v>512</v>
      </c>
    </row>
    <row r="203" spans="1:7" ht="18" customHeight="1" x14ac:dyDescent="0.2">
      <c r="A203" s="266" t="s">
        <v>45</v>
      </c>
      <c r="B203" s="266" t="s">
        <v>38</v>
      </c>
      <c r="C203" s="266" t="s">
        <v>36</v>
      </c>
      <c r="D203" s="266" t="s">
        <v>357</v>
      </c>
      <c r="E203" s="266" t="s">
        <v>357</v>
      </c>
      <c r="F203" s="267" t="s">
        <v>993</v>
      </c>
      <c r="G203" s="268" t="s">
        <v>438</v>
      </c>
    </row>
    <row r="204" spans="1:7" ht="18" customHeight="1" x14ac:dyDescent="0.2">
      <c r="A204" s="266" t="s">
        <v>45</v>
      </c>
      <c r="B204" s="266" t="s">
        <v>38</v>
      </c>
      <c r="C204" s="266" t="s">
        <v>43</v>
      </c>
      <c r="D204" s="266" t="s">
        <v>357</v>
      </c>
      <c r="E204" s="266" t="s">
        <v>357</v>
      </c>
      <c r="F204" s="267" t="s">
        <v>994</v>
      </c>
      <c r="G204" s="268" t="s">
        <v>436</v>
      </c>
    </row>
    <row r="205" spans="1:7" ht="18" customHeight="1" x14ac:dyDescent="0.2">
      <c r="A205" s="271" t="s">
        <v>45</v>
      </c>
      <c r="B205" s="271" t="s">
        <v>39</v>
      </c>
      <c r="C205" s="271" t="s">
        <v>357</v>
      </c>
      <c r="D205" s="271" t="s">
        <v>357</v>
      </c>
      <c r="E205" s="271" t="s">
        <v>357</v>
      </c>
      <c r="F205" s="270" t="s">
        <v>995</v>
      </c>
      <c r="G205" s="272" t="s">
        <v>430</v>
      </c>
    </row>
    <row r="206" spans="1:7" ht="18" customHeight="1" x14ac:dyDescent="0.2">
      <c r="A206" s="266" t="s">
        <v>45</v>
      </c>
      <c r="B206" s="266" t="s">
        <v>39</v>
      </c>
      <c r="C206" s="266" t="s">
        <v>36</v>
      </c>
      <c r="D206" s="266" t="s">
        <v>357</v>
      </c>
      <c r="E206" s="266" t="s">
        <v>357</v>
      </c>
      <c r="F206" s="267" t="s">
        <v>996</v>
      </c>
      <c r="G206" s="268" t="s">
        <v>439</v>
      </c>
    </row>
    <row r="207" spans="1:7" ht="18" customHeight="1" x14ac:dyDescent="0.2">
      <c r="A207" s="271" t="s">
        <v>45</v>
      </c>
      <c r="B207" s="271" t="s">
        <v>44</v>
      </c>
      <c r="C207" s="271" t="s">
        <v>357</v>
      </c>
      <c r="D207" s="271" t="s">
        <v>357</v>
      </c>
      <c r="E207" s="271" t="s">
        <v>357</v>
      </c>
      <c r="F207" s="270" t="s">
        <v>997</v>
      </c>
      <c r="G207" s="272" t="s">
        <v>516</v>
      </c>
    </row>
    <row r="208" spans="1:7" ht="18" customHeight="1" x14ac:dyDescent="0.2">
      <c r="A208" s="266" t="s">
        <v>45</v>
      </c>
      <c r="B208" s="266" t="s">
        <v>44</v>
      </c>
      <c r="C208" s="266" t="s">
        <v>36</v>
      </c>
      <c r="D208" s="266" t="s">
        <v>357</v>
      </c>
      <c r="E208" s="266" t="s">
        <v>357</v>
      </c>
      <c r="F208" s="267" t="s">
        <v>998</v>
      </c>
      <c r="G208" s="268" t="s">
        <v>434</v>
      </c>
    </row>
    <row r="209" spans="1:7" ht="18" customHeight="1" x14ac:dyDescent="0.2">
      <c r="A209" s="266" t="s">
        <v>45</v>
      </c>
      <c r="B209" s="266" t="s">
        <v>44</v>
      </c>
      <c r="C209" s="266" t="s">
        <v>38</v>
      </c>
      <c r="D209" s="266" t="s">
        <v>357</v>
      </c>
      <c r="E209" s="266" t="s">
        <v>357</v>
      </c>
      <c r="F209" s="267" t="s">
        <v>999</v>
      </c>
      <c r="G209" s="268" t="s">
        <v>476</v>
      </c>
    </row>
    <row r="210" spans="1:7" ht="18" customHeight="1" x14ac:dyDescent="0.2">
      <c r="A210" s="266" t="s">
        <v>45</v>
      </c>
      <c r="B210" s="266" t="s">
        <v>44</v>
      </c>
      <c r="C210" s="266" t="s">
        <v>39</v>
      </c>
      <c r="D210" s="266" t="s">
        <v>357</v>
      </c>
      <c r="E210" s="266" t="s">
        <v>357</v>
      </c>
      <c r="F210" s="267" t="s">
        <v>1000</v>
      </c>
      <c r="G210" s="268" t="s">
        <v>437</v>
      </c>
    </row>
    <row r="211" spans="1:7" ht="18" customHeight="1" x14ac:dyDescent="0.2">
      <c r="A211" s="231" t="s">
        <v>288</v>
      </c>
      <c r="B211" s="231" t="s">
        <v>357</v>
      </c>
      <c r="C211" s="231" t="s">
        <v>357</v>
      </c>
      <c r="D211" s="231" t="s">
        <v>357</v>
      </c>
      <c r="E211" s="231" t="s">
        <v>357</v>
      </c>
      <c r="F211" s="229" t="s">
        <v>1001</v>
      </c>
      <c r="G211" s="230" t="s">
        <v>491</v>
      </c>
    </row>
    <row r="212" spans="1:7" ht="18" customHeight="1" x14ac:dyDescent="0.2">
      <c r="A212" s="271" t="s">
        <v>288</v>
      </c>
      <c r="B212" s="271" t="s">
        <v>40</v>
      </c>
      <c r="C212" s="271" t="s">
        <v>357</v>
      </c>
      <c r="D212" s="271" t="s">
        <v>357</v>
      </c>
      <c r="E212" s="271" t="s">
        <v>357</v>
      </c>
      <c r="F212" s="270" t="s">
        <v>1002</v>
      </c>
      <c r="G212" s="272" t="s">
        <v>520</v>
      </c>
    </row>
    <row r="213" spans="1:7" ht="18" customHeight="1" x14ac:dyDescent="0.2">
      <c r="A213" s="266" t="s">
        <v>288</v>
      </c>
      <c r="B213" s="266" t="s">
        <v>40</v>
      </c>
      <c r="C213" s="266" t="s">
        <v>36</v>
      </c>
      <c r="D213" s="266" t="s">
        <v>357</v>
      </c>
      <c r="E213" s="266" t="s">
        <v>357</v>
      </c>
      <c r="F213" s="267" t="s">
        <v>1003</v>
      </c>
      <c r="G213" s="268" t="s">
        <v>471</v>
      </c>
    </row>
    <row r="214" spans="1:7" ht="18" customHeight="1" x14ac:dyDescent="0.2">
      <c r="A214" s="266" t="s">
        <v>288</v>
      </c>
      <c r="B214" s="266" t="s">
        <v>40</v>
      </c>
      <c r="C214" s="266" t="s">
        <v>44</v>
      </c>
      <c r="D214" s="266" t="s">
        <v>357</v>
      </c>
      <c r="E214" s="266" t="s">
        <v>357</v>
      </c>
      <c r="F214" s="267" t="s">
        <v>1004</v>
      </c>
      <c r="G214" s="268" t="s">
        <v>464</v>
      </c>
    </row>
    <row r="215" spans="1:7" ht="18" customHeight="1" x14ac:dyDescent="0.2">
      <c r="A215" s="266" t="s">
        <v>288</v>
      </c>
      <c r="B215" s="266" t="s">
        <v>40</v>
      </c>
      <c r="C215" s="266" t="s">
        <v>45</v>
      </c>
      <c r="D215" s="266" t="s">
        <v>357</v>
      </c>
      <c r="E215" s="266" t="s">
        <v>357</v>
      </c>
      <c r="F215" s="267" t="s">
        <v>1005</v>
      </c>
      <c r="G215" s="268" t="s">
        <v>466</v>
      </c>
    </row>
    <row r="216" spans="1:7" ht="18" customHeight="1" x14ac:dyDescent="0.2">
      <c r="A216" s="271" t="s">
        <v>288</v>
      </c>
      <c r="B216" s="271" t="s">
        <v>41</v>
      </c>
      <c r="C216" s="271" t="s">
        <v>357</v>
      </c>
      <c r="D216" s="271" t="s">
        <v>357</v>
      </c>
      <c r="E216" s="271" t="s">
        <v>357</v>
      </c>
      <c r="F216" s="270" t="s">
        <v>1006</v>
      </c>
      <c r="G216" s="272" t="s">
        <v>521</v>
      </c>
    </row>
    <row r="217" spans="1:7" ht="18" customHeight="1" x14ac:dyDescent="0.2">
      <c r="A217" s="266" t="s">
        <v>288</v>
      </c>
      <c r="B217" s="266" t="s">
        <v>41</v>
      </c>
      <c r="C217" s="266" t="s">
        <v>36</v>
      </c>
      <c r="D217" s="266" t="s">
        <v>357</v>
      </c>
      <c r="E217" s="266" t="s">
        <v>357</v>
      </c>
      <c r="F217" s="267" t="s">
        <v>1007</v>
      </c>
      <c r="G217" s="268" t="s">
        <v>471</v>
      </c>
    </row>
    <row r="218" spans="1:7" ht="18" customHeight="1" x14ac:dyDescent="0.2">
      <c r="A218" s="266" t="s">
        <v>288</v>
      </c>
      <c r="B218" s="266" t="s">
        <v>41</v>
      </c>
      <c r="C218" s="266" t="s">
        <v>44</v>
      </c>
      <c r="D218" s="266" t="s">
        <v>357</v>
      </c>
      <c r="E218" s="266" t="s">
        <v>357</v>
      </c>
      <c r="F218" s="267" t="s">
        <v>1008</v>
      </c>
      <c r="G218" s="268" t="s">
        <v>464</v>
      </c>
    </row>
    <row r="219" spans="1:7" ht="18" customHeight="1" x14ac:dyDescent="0.2">
      <c r="A219" s="266" t="s">
        <v>288</v>
      </c>
      <c r="B219" s="266" t="s">
        <v>41</v>
      </c>
      <c r="C219" s="266" t="s">
        <v>45</v>
      </c>
      <c r="D219" s="266" t="s">
        <v>357</v>
      </c>
      <c r="E219" s="266" t="s">
        <v>357</v>
      </c>
      <c r="F219" s="267" t="s">
        <v>1009</v>
      </c>
      <c r="G219" s="268" t="s">
        <v>466</v>
      </c>
    </row>
    <row r="220" spans="1:7" ht="18" customHeight="1" x14ac:dyDescent="0.2">
      <c r="A220" s="271" t="s">
        <v>288</v>
      </c>
      <c r="B220" s="271" t="s">
        <v>42</v>
      </c>
      <c r="C220" s="271" t="s">
        <v>357</v>
      </c>
      <c r="D220" s="271" t="s">
        <v>357</v>
      </c>
      <c r="E220" s="271" t="s">
        <v>357</v>
      </c>
      <c r="F220" s="270" t="s">
        <v>1010</v>
      </c>
      <c r="G220" s="272" t="s">
        <v>478</v>
      </c>
    </row>
    <row r="221" spans="1:7" ht="18" customHeight="1" x14ac:dyDescent="0.2">
      <c r="A221" s="266" t="s">
        <v>288</v>
      </c>
      <c r="B221" s="266" t="s">
        <v>42</v>
      </c>
      <c r="C221" s="266" t="s">
        <v>36</v>
      </c>
      <c r="D221" s="266" t="s">
        <v>357</v>
      </c>
      <c r="E221" s="266" t="s">
        <v>357</v>
      </c>
      <c r="F221" s="267" t="s">
        <v>1011</v>
      </c>
      <c r="G221" s="268" t="s">
        <v>478</v>
      </c>
    </row>
    <row r="222" spans="1:7" ht="18" customHeight="1" x14ac:dyDescent="0.2">
      <c r="A222" s="271" t="s">
        <v>288</v>
      </c>
      <c r="B222" s="271" t="s">
        <v>45</v>
      </c>
      <c r="C222" s="271" t="s">
        <v>357</v>
      </c>
      <c r="D222" s="271" t="s">
        <v>357</v>
      </c>
      <c r="E222" s="271" t="s">
        <v>357</v>
      </c>
      <c r="F222" s="270" t="s">
        <v>1012</v>
      </c>
      <c r="G222" s="272" t="s">
        <v>477</v>
      </c>
    </row>
    <row r="223" spans="1:7" ht="18" customHeight="1" x14ac:dyDescent="0.2">
      <c r="A223" s="266" t="s">
        <v>288</v>
      </c>
      <c r="B223" s="266" t="s">
        <v>45</v>
      </c>
      <c r="C223" s="266" t="s">
        <v>329</v>
      </c>
      <c r="D223" s="266" t="s">
        <v>357</v>
      </c>
      <c r="E223" s="266" t="s">
        <v>357</v>
      </c>
      <c r="F223" s="267" t="s">
        <v>1013</v>
      </c>
      <c r="G223" s="268" t="s">
        <v>377</v>
      </c>
    </row>
    <row r="224" spans="1:7" ht="18" customHeight="1" x14ac:dyDescent="0.2">
      <c r="A224" s="231" t="s">
        <v>290</v>
      </c>
      <c r="B224" s="231" t="s">
        <v>357</v>
      </c>
      <c r="C224" s="231" t="s">
        <v>357</v>
      </c>
      <c r="D224" s="231" t="s">
        <v>357</v>
      </c>
      <c r="E224" s="231" t="s">
        <v>357</v>
      </c>
      <c r="F224" s="229" t="s">
        <v>1014</v>
      </c>
      <c r="G224" s="230" t="s">
        <v>492</v>
      </c>
    </row>
    <row r="225" spans="1:7" ht="18" customHeight="1" x14ac:dyDescent="0.2">
      <c r="A225" s="271">
        <v>12</v>
      </c>
      <c r="B225" s="271" t="s">
        <v>40</v>
      </c>
      <c r="C225" s="271" t="s">
        <v>357</v>
      </c>
      <c r="D225" s="271" t="s">
        <v>357</v>
      </c>
      <c r="E225" s="271" t="s">
        <v>357</v>
      </c>
      <c r="F225" s="270" t="s">
        <v>1015</v>
      </c>
      <c r="G225" s="273" t="s">
        <v>520</v>
      </c>
    </row>
    <row r="226" spans="1:7" ht="18" customHeight="1" x14ac:dyDescent="0.2">
      <c r="A226" s="266">
        <v>12</v>
      </c>
      <c r="B226" s="266" t="s">
        <v>40</v>
      </c>
      <c r="C226" s="266" t="s">
        <v>37</v>
      </c>
      <c r="D226" s="266" t="s">
        <v>357</v>
      </c>
      <c r="E226" s="266" t="s">
        <v>357</v>
      </c>
      <c r="F226" s="267" t="s">
        <v>1016</v>
      </c>
      <c r="G226" s="269" t="s">
        <v>470</v>
      </c>
    </row>
    <row r="227" spans="1:7" ht="18" customHeight="1" x14ac:dyDescent="0.2">
      <c r="A227" s="266">
        <v>12</v>
      </c>
      <c r="B227" s="266" t="s">
        <v>40</v>
      </c>
      <c r="C227" s="266" t="s">
        <v>38</v>
      </c>
      <c r="D227" s="266" t="s">
        <v>357</v>
      </c>
      <c r="E227" s="266" t="s">
        <v>357</v>
      </c>
      <c r="F227" s="267" t="s">
        <v>1017</v>
      </c>
      <c r="G227" s="269" t="s">
        <v>1018</v>
      </c>
    </row>
    <row r="228" spans="1:7" ht="18" customHeight="1" x14ac:dyDescent="0.2">
      <c r="A228" s="266">
        <v>12</v>
      </c>
      <c r="B228" s="266" t="s">
        <v>40</v>
      </c>
      <c r="C228" s="266">
        <v>11</v>
      </c>
      <c r="D228" s="266" t="s">
        <v>357</v>
      </c>
      <c r="E228" s="266" t="s">
        <v>357</v>
      </c>
      <c r="F228" s="267" t="s">
        <v>1019</v>
      </c>
      <c r="G228" s="269" t="s">
        <v>469</v>
      </c>
    </row>
    <row r="229" spans="1:7" ht="18" customHeight="1" x14ac:dyDescent="0.2">
      <c r="A229" s="266">
        <v>12</v>
      </c>
      <c r="B229" s="266" t="s">
        <v>40</v>
      </c>
      <c r="C229" s="266">
        <v>12</v>
      </c>
      <c r="D229" s="266" t="s">
        <v>357</v>
      </c>
      <c r="E229" s="266" t="s">
        <v>357</v>
      </c>
      <c r="F229" s="267" t="s">
        <v>1020</v>
      </c>
      <c r="G229" s="269" t="s">
        <v>475</v>
      </c>
    </row>
    <row r="230" spans="1:7" ht="18" customHeight="1" x14ac:dyDescent="0.2">
      <c r="A230" s="271" t="s">
        <v>290</v>
      </c>
      <c r="B230" s="271" t="s">
        <v>41</v>
      </c>
      <c r="C230" s="271" t="s">
        <v>357</v>
      </c>
      <c r="D230" s="271" t="s">
        <v>357</v>
      </c>
      <c r="E230" s="271" t="s">
        <v>357</v>
      </c>
      <c r="F230" s="270" t="s">
        <v>1021</v>
      </c>
      <c r="G230" s="272" t="s">
        <v>521</v>
      </c>
    </row>
    <row r="231" spans="1:7" ht="18" customHeight="1" x14ac:dyDescent="0.2">
      <c r="A231" s="266" t="s">
        <v>290</v>
      </c>
      <c r="B231" s="266" t="s">
        <v>41</v>
      </c>
      <c r="C231" s="266" t="s">
        <v>37</v>
      </c>
      <c r="D231" s="266" t="s">
        <v>357</v>
      </c>
      <c r="E231" s="266" t="s">
        <v>357</v>
      </c>
      <c r="F231" s="267" t="s">
        <v>1022</v>
      </c>
      <c r="G231" s="268" t="s">
        <v>470</v>
      </c>
    </row>
    <row r="232" spans="1:7" ht="18" customHeight="1" x14ac:dyDescent="0.2">
      <c r="A232" s="266">
        <v>12</v>
      </c>
      <c r="B232" s="266" t="s">
        <v>41</v>
      </c>
      <c r="C232" s="266" t="s">
        <v>38</v>
      </c>
      <c r="D232" s="266" t="s">
        <v>357</v>
      </c>
      <c r="E232" s="266" t="s">
        <v>357</v>
      </c>
      <c r="F232" s="267" t="s">
        <v>1023</v>
      </c>
      <c r="G232" s="269" t="s">
        <v>1018</v>
      </c>
    </row>
    <row r="233" spans="1:7" ht="18" customHeight="1" x14ac:dyDescent="0.2">
      <c r="A233" s="266">
        <v>12</v>
      </c>
      <c r="B233" s="266" t="s">
        <v>41</v>
      </c>
      <c r="C233" s="266">
        <v>11</v>
      </c>
      <c r="D233" s="266" t="s">
        <v>357</v>
      </c>
      <c r="E233" s="266" t="s">
        <v>357</v>
      </c>
      <c r="F233" s="267" t="s">
        <v>1024</v>
      </c>
      <c r="G233" s="269" t="s">
        <v>469</v>
      </c>
    </row>
    <row r="234" spans="1:7" ht="18" customHeight="1" x14ac:dyDescent="0.2">
      <c r="A234" s="266">
        <v>12</v>
      </c>
      <c r="B234" s="266" t="s">
        <v>41</v>
      </c>
      <c r="C234" s="266">
        <v>12</v>
      </c>
      <c r="D234" s="266" t="s">
        <v>357</v>
      </c>
      <c r="E234" s="266" t="s">
        <v>357</v>
      </c>
      <c r="F234" s="267" t="s">
        <v>1025</v>
      </c>
      <c r="G234" s="269" t="s">
        <v>475</v>
      </c>
    </row>
    <row r="235" spans="1:7" ht="18" customHeight="1" x14ac:dyDescent="0.2">
      <c r="A235" s="231" t="s">
        <v>291</v>
      </c>
      <c r="B235" s="231" t="s">
        <v>357</v>
      </c>
      <c r="C235" s="231" t="s">
        <v>357</v>
      </c>
      <c r="D235" s="231" t="s">
        <v>357</v>
      </c>
      <c r="E235" s="231" t="s">
        <v>357</v>
      </c>
      <c r="F235" s="229" t="s">
        <v>1026</v>
      </c>
      <c r="G235" s="230" t="s">
        <v>493</v>
      </c>
    </row>
    <row r="236" spans="1:7" ht="18" customHeight="1" x14ac:dyDescent="0.2">
      <c r="A236" s="271" t="s">
        <v>291</v>
      </c>
      <c r="B236" s="271" t="s">
        <v>36</v>
      </c>
      <c r="C236" s="271" t="s">
        <v>357</v>
      </c>
      <c r="D236" s="271" t="s">
        <v>357</v>
      </c>
      <c r="E236" s="271" t="s">
        <v>357</v>
      </c>
      <c r="F236" s="270" t="s">
        <v>1027</v>
      </c>
      <c r="G236" s="272" t="s">
        <v>412</v>
      </c>
    </row>
    <row r="237" spans="1:7" ht="18" customHeight="1" x14ac:dyDescent="0.2">
      <c r="A237" s="266" t="s">
        <v>291</v>
      </c>
      <c r="B237" s="266" t="s">
        <v>36</v>
      </c>
      <c r="C237" s="266" t="s">
        <v>36</v>
      </c>
      <c r="D237" s="266" t="s">
        <v>357</v>
      </c>
      <c r="E237" s="266" t="s">
        <v>357</v>
      </c>
      <c r="F237" s="267" t="s">
        <v>1028</v>
      </c>
      <c r="G237" s="268" t="s">
        <v>479</v>
      </c>
    </row>
    <row r="238" spans="1:7" ht="18" customHeight="1" x14ac:dyDescent="0.2">
      <c r="A238" s="266" t="s">
        <v>291</v>
      </c>
      <c r="B238" s="266" t="s">
        <v>36</v>
      </c>
      <c r="C238" s="266" t="s">
        <v>37</v>
      </c>
      <c r="D238" s="266" t="s">
        <v>357</v>
      </c>
      <c r="E238" s="266" t="s">
        <v>357</v>
      </c>
      <c r="F238" s="267" t="s">
        <v>1029</v>
      </c>
      <c r="G238" s="268" t="s">
        <v>426</v>
      </c>
    </row>
    <row r="239" spans="1:7" ht="18" customHeight="1" x14ac:dyDescent="0.2">
      <c r="A239" s="266" t="s">
        <v>291</v>
      </c>
      <c r="B239" s="266" t="s">
        <v>36</v>
      </c>
      <c r="C239" s="266" t="s">
        <v>329</v>
      </c>
      <c r="D239" s="266" t="s">
        <v>357</v>
      </c>
      <c r="E239" s="266" t="s">
        <v>357</v>
      </c>
      <c r="F239" s="267" t="s">
        <v>1030</v>
      </c>
      <c r="G239" s="268" t="s">
        <v>412</v>
      </c>
    </row>
    <row r="240" spans="1:7" ht="18" customHeight="1" x14ac:dyDescent="0.2">
      <c r="A240" s="231" t="s">
        <v>383</v>
      </c>
      <c r="B240" s="231" t="s">
        <v>357</v>
      </c>
      <c r="C240" s="231" t="s">
        <v>357</v>
      </c>
      <c r="D240" s="231" t="s">
        <v>357</v>
      </c>
      <c r="E240" s="231" t="s">
        <v>357</v>
      </c>
      <c r="F240" s="229" t="s">
        <v>1031</v>
      </c>
      <c r="G240" s="230" t="s">
        <v>480</v>
      </c>
    </row>
    <row r="241" spans="1:7" ht="18" customHeight="1" x14ac:dyDescent="0.2">
      <c r="A241" s="271" t="s">
        <v>383</v>
      </c>
      <c r="B241" s="271" t="s">
        <v>36</v>
      </c>
      <c r="C241" s="271" t="s">
        <v>357</v>
      </c>
      <c r="D241" s="271" t="s">
        <v>357</v>
      </c>
      <c r="E241" s="271" t="s">
        <v>357</v>
      </c>
      <c r="F241" s="270" t="s">
        <v>1032</v>
      </c>
      <c r="G241" s="272" t="s">
        <v>480</v>
      </c>
    </row>
    <row r="242" spans="1:7" ht="18" customHeight="1" x14ac:dyDescent="0.2">
      <c r="A242" s="266" t="s">
        <v>383</v>
      </c>
      <c r="B242" s="266" t="s">
        <v>36</v>
      </c>
      <c r="C242" s="266" t="s">
        <v>36</v>
      </c>
      <c r="D242" s="266" t="s">
        <v>357</v>
      </c>
      <c r="E242" s="266" t="s">
        <v>357</v>
      </c>
      <c r="F242" s="267" t="s">
        <v>1033</v>
      </c>
      <c r="G242" s="268" t="s">
        <v>480</v>
      </c>
    </row>
    <row r="243" spans="1:7" ht="18" customHeight="1" x14ac:dyDescent="0.2">
      <c r="A243" s="231" t="s">
        <v>415</v>
      </c>
      <c r="B243" s="231" t="s">
        <v>357</v>
      </c>
      <c r="C243" s="231" t="s">
        <v>357</v>
      </c>
      <c r="D243" s="231" t="s">
        <v>357</v>
      </c>
      <c r="E243" s="231" t="s">
        <v>357</v>
      </c>
      <c r="F243" s="229" t="s">
        <v>1034</v>
      </c>
      <c r="G243" s="230" t="s">
        <v>494</v>
      </c>
    </row>
    <row r="244" spans="1:7" ht="18" customHeight="1" x14ac:dyDescent="0.2">
      <c r="A244" s="271" t="s">
        <v>415</v>
      </c>
      <c r="B244" s="271" t="s">
        <v>36</v>
      </c>
      <c r="C244" s="271" t="s">
        <v>357</v>
      </c>
      <c r="D244" s="271" t="s">
        <v>357</v>
      </c>
      <c r="E244" s="271" t="s">
        <v>357</v>
      </c>
      <c r="F244" s="270" t="s">
        <v>1035</v>
      </c>
      <c r="G244" s="272" t="s">
        <v>522</v>
      </c>
    </row>
    <row r="245" spans="1:7" ht="18" customHeight="1" x14ac:dyDescent="0.2">
      <c r="A245" s="266" t="s">
        <v>415</v>
      </c>
      <c r="B245" s="266" t="s">
        <v>36</v>
      </c>
      <c r="C245" s="266" t="s">
        <v>39</v>
      </c>
      <c r="D245" s="266" t="s">
        <v>357</v>
      </c>
      <c r="E245" s="266" t="s">
        <v>357</v>
      </c>
      <c r="F245" s="267" t="s">
        <v>1036</v>
      </c>
      <c r="G245" s="268" t="s">
        <v>792</v>
      </c>
    </row>
    <row r="246" spans="1:7" ht="18" customHeight="1" x14ac:dyDescent="0.2">
      <c r="A246" s="231" t="s">
        <v>330</v>
      </c>
      <c r="B246" s="231" t="s">
        <v>357</v>
      </c>
      <c r="C246" s="231" t="s">
        <v>357</v>
      </c>
      <c r="D246" s="231" t="s">
        <v>357</v>
      </c>
      <c r="E246" s="231" t="s">
        <v>357</v>
      </c>
      <c r="F246" s="229" t="s">
        <v>1091</v>
      </c>
      <c r="G246" s="230" t="s">
        <v>1092</v>
      </c>
    </row>
    <row r="247" spans="1:7" ht="18" customHeight="1" x14ac:dyDescent="0.2">
      <c r="A247" s="271" t="s">
        <v>330</v>
      </c>
      <c r="B247" s="271" t="s">
        <v>36</v>
      </c>
      <c r="C247" s="271" t="s">
        <v>357</v>
      </c>
      <c r="D247" s="271" t="s">
        <v>357</v>
      </c>
      <c r="E247" s="271" t="s">
        <v>357</v>
      </c>
      <c r="F247" s="270" t="s">
        <v>1037</v>
      </c>
      <c r="G247" s="272" t="s">
        <v>523</v>
      </c>
    </row>
    <row r="248" spans="1:7" ht="18" customHeight="1" x14ac:dyDescent="0.2">
      <c r="A248" s="266" t="s">
        <v>330</v>
      </c>
      <c r="B248" s="266" t="s">
        <v>36</v>
      </c>
      <c r="C248" s="266" t="s">
        <v>37</v>
      </c>
      <c r="D248" s="266" t="s">
        <v>357</v>
      </c>
      <c r="E248" s="266" t="s">
        <v>357</v>
      </c>
      <c r="F248" s="267" t="s">
        <v>1038</v>
      </c>
      <c r="G248" s="268" t="s">
        <v>23</v>
      </c>
    </row>
    <row r="249" spans="1:7" ht="18" customHeight="1" x14ac:dyDescent="0.2">
      <c r="A249" s="266" t="s">
        <v>330</v>
      </c>
      <c r="B249" s="266" t="s">
        <v>36</v>
      </c>
      <c r="C249" s="266" t="s">
        <v>39</v>
      </c>
      <c r="D249" s="266" t="s">
        <v>357</v>
      </c>
      <c r="E249" s="266" t="s">
        <v>357</v>
      </c>
      <c r="F249" s="267" t="s">
        <v>1039</v>
      </c>
      <c r="G249" s="268" t="s">
        <v>24</v>
      </c>
    </row>
    <row r="250" spans="1:7" ht="18" customHeight="1" x14ac:dyDescent="0.2">
      <c r="A250" s="266" t="s">
        <v>330</v>
      </c>
      <c r="B250" s="266" t="s">
        <v>36</v>
      </c>
      <c r="C250" s="266" t="s">
        <v>41</v>
      </c>
      <c r="D250" s="266" t="s">
        <v>357</v>
      </c>
      <c r="E250" s="266" t="s">
        <v>357</v>
      </c>
      <c r="F250" s="267" t="s">
        <v>1040</v>
      </c>
      <c r="G250" s="268" t="s">
        <v>368</v>
      </c>
    </row>
    <row r="251" spans="1:7" ht="18" customHeight="1" x14ac:dyDescent="0.2">
      <c r="A251" s="271" t="s">
        <v>330</v>
      </c>
      <c r="B251" s="271" t="s">
        <v>37</v>
      </c>
      <c r="C251" s="271" t="s">
        <v>357</v>
      </c>
      <c r="D251" s="271" t="s">
        <v>357</v>
      </c>
      <c r="E251" s="271" t="s">
        <v>357</v>
      </c>
      <c r="F251" s="270" t="s">
        <v>1041</v>
      </c>
      <c r="G251" s="272" t="s">
        <v>525</v>
      </c>
    </row>
    <row r="252" spans="1:7" ht="18" customHeight="1" x14ac:dyDescent="0.2">
      <c r="A252" s="266" t="s">
        <v>330</v>
      </c>
      <c r="B252" s="266" t="s">
        <v>37</v>
      </c>
      <c r="C252" s="266" t="s">
        <v>36</v>
      </c>
      <c r="D252" s="266" t="s">
        <v>357</v>
      </c>
      <c r="E252" s="266" t="s">
        <v>357</v>
      </c>
      <c r="F252" s="267" t="s">
        <v>1042</v>
      </c>
      <c r="G252" s="268" t="s">
        <v>705</v>
      </c>
    </row>
    <row r="253" spans="1:7" ht="18" customHeight="1" x14ac:dyDescent="0.2">
      <c r="A253" s="266" t="s">
        <v>330</v>
      </c>
      <c r="B253" s="266" t="s">
        <v>37</v>
      </c>
      <c r="C253" s="266" t="s">
        <v>42</v>
      </c>
      <c r="D253" s="266" t="s">
        <v>357</v>
      </c>
      <c r="E253" s="266" t="s">
        <v>357</v>
      </c>
      <c r="F253" s="267" t="s">
        <v>704</v>
      </c>
      <c r="G253" s="268" t="s">
        <v>526</v>
      </c>
    </row>
    <row r="254" spans="1:7" ht="18" customHeight="1" x14ac:dyDescent="0.2">
      <c r="A254" s="266" t="s">
        <v>330</v>
      </c>
      <c r="B254" s="266" t="s">
        <v>37</v>
      </c>
      <c r="C254" s="266" t="s">
        <v>44</v>
      </c>
      <c r="D254" s="266" t="s">
        <v>357</v>
      </c>
      <c r="E254" s="266" t="s">
        <v>357</v>
      </c>
      <c r="F254" s="267" t="s">
        <v>703</v>
      </c>
      <c r="G254" s="268" t="s">
        <v>527</v>
      </c>
    </row>
    <row r="255" spans="1:7" ht="18" customHeight="1" x14ac:dyDescent="0.2">
      <c r="A255" s="266" t="s">
        <v>330</v>
      </c>
      <c r="B255" s="266" t="s">
        <v>37</v>
      </c>
      <c r="C255" s="266" t="s">
        <v>291</v>
      </c>
      <c r="D255" s="266" t="s">
        <v>357</v>
      </c>
      <c r="E255" s="266" t="s">
        <v>357</v>
      </c>
      <c r="F255" s="267" t="s">
        <v>702</v>
      </c>
      <c r="G255" s="268" t="s">
        <v>25</v>
      </c>
    </row>
    <row r="256" spans="1:7" ht="18" customHeight="1" x14ac:dyDescent="0.2">
      <c r="A256" s="266" t="s">
        <v>330</v>
      </c>
      <c r="B256" s="266" t="s">
        <v>37</v>
      </c>
      <c r="C256" s="266" t="s">
        <v>413</v>
      </c>
      <c r="D256" s="266" t="s">
        <v>357</v>
      </c>
      <c r="E256" s="266" t="s">
        <v>357</v>
      </c>
      <c r="F256" s="267" t="s">
        <v>701</v>
      </c>
      <c r="G256" s="268" t="s">
        <v>528</v>
      </c>
    </row>
    <row r="257" spans="1:7" ht="18" customHeight="1" x14ac:dyDescent="0.2">
      <c r="A257" s="266" t="s">
        <v>330</v>
      </c>
      <c r="B257" s="266" t="s">
        <v>37</v>
      </c>
      <c r="C257" s="266" t="s">
        <v>383</v>
      </c>
      <c r="D257" s="266" t="s">
        <v>357</v>
      </c>
      <c r="E257" s="266" t="s">
        <v>357</v>
      </c>
      <c r="F257" s="267" t="s">
        <v>700</v>
      </c>
      <c r="G257" s="268" t="s">
        <v>529</v>
      </c>
    </row>
    <row r="258" spans="1:7" ht="18" customHeight="1" x14ac:dyDescent="0.2">
      <c r="A258" s="266" t="s">
        <v>330</v>
      </c>
      <c r="B258" s="266" t="s">
        <v>37</v>
      </c>
      <c r="C258" s="266" t="s">
        <v>415</v>
      </c>
      <c r="D258" s="266" t="s">
        <v>357</v>
      </c>
      <c r="E258" s="266" t="s">
        <v>357</v>
      </c>
      <c r="F258" s="267" t="s">
        <v>699</v>
      </c>
      <c r="G258" s="268" t="s">
        <v>530</v>
      </c>
    </row>
    <row r="259" spans="1:7" ht="18" customHeight="1" x14ac:dyDescent="0.2">
      <c r="A259" s="266" t="s">
        <v>330</v>
      </c>
      <c r="B259" s="266" t="s">
        <v>37</v>
      </c>
      <c r="C259" s="266" t="s">
        <v>330</v>
      </c>
      <c r="D259" s="266" t="s">
        <v>357</v>
      </c>
      <c r="E259" s="266" t="s">
        <v>357</v>
      </c>
      <c r="F259" s="267" t="s">
        <v>698</v>
      </c>
      <c r="G259" s="268" t="s">
        <v>531</v>
      </c>
    </row>
    <row r="260" spans="1:7" ht="18" customHeight="1" x14ac:dyDescent="0.2">
      <c r="A260" s="266" t="s">
        <v>330</v>
      </c>
      <c r="B260" s="266" t="s">
        <v>37</v>
      </c>
      <c r="C260" s="266" t="s">
        <v>404</v>
      </c>
      <c r="D260" s="266" t="s">
        <v>357</v>
      </c>
      <c r="E260" s="266" t="s">
        <v>357</v>
      </c>
      <c r="F260" s="267" t="s">
        <v>697</v>
      </c>
      <c r="G260" s="268" t="s">
        <v>532</v>
      </c>
    </row>
    <row r="261" spans="1:7" ht="18" customHeight="1" x14ac:dyDescent="0.2">
      <c r="A261" s="266" t="s">
        <v>330</v>
      </c>
      <c r="B261" s="266" t="s">
        <v>37</v>
      </c>
      <c r="C261" s="266" t="s">
        <v>406</v>
      </c>
      <c r="D261" s="266" t="s">
        <v>357</v>
      </c>
      <c r="E261" s="266" t="s">
        <v>357</v>
      </c>
      <c r="F261" s="267" t="s">
        <v>696</v>
      </c>
      <c r="G261" s="268" t="s">
        <v>533</v>
      </c>
    </row>
    <row r="262" spans="1:7" ht="18" customHeight="1" x14ac:dyDescent="0.2">
      <c r="A262" s="266" t="s">
        <v>330</v>
      </c>
      <c r="B262" s="266" t="s">
        <v>37</v>
      </c>
      <c r="C262" s="266" t="s">
        <v>387</v>
      </c>
      <c r="D262" s="266" t="s">
        <v>357</v>
      </c>
      <c r="E262" s="266" t="s">
        <v>357</v>
      </c>
      <c r="F262" s="267" t="s">
        <v>695</v>
      </c>
      <c r="G262" s="268" t="s">
        <v>534</v>
      </c>
    </row>
    <row r="263" spans="1:7" ht="18" customHeight="1" x14ac:dyDescent="0.2">
      <c r="A263" s="266" t="s">
        <v>330</v>
      </c>
      <c r="B263" s="266" t="s">
        <v>37</v>
      </c>
      <c r="C263" s="266" t="s">
        <v>535</v>
      </c>
      <c r="D263" s="266" t="s">
        <v>357</v>
      </c>
      <c r="E263" s="266" t="s">
        <v>357</v>
      </c>
      <c r="F263" s="267" t="s">
        <v>694</v>
      </c>
      <c r="G263" s="268" t="s">
        <v>536</v>
      </c>
    </row>
    <row r="264" spans="1:7" ht="18" customHeight="1" x14ac:dyDescent="0.2">
      <c r="A264" s="266" t="s">
        <v>330</v>
      </c>
      <c r="B264" s="266" t="s">
        <v>37</v>
      </c>
      <c r="C264" s="266" t="s">
        <v>537</v>
      </c>
      <c r="D264" s="266" t="s">
        <v>357</v>
      </c>
      <c r="E264" s="266" t="s">
        <v>357</v>
      </c>
      <c r="F264" s="267" t="s">
        <v>693</v>
      </c>
      <c r="G264" s="268" t="s">
        <v>538</v>
      </c>
    </row>
    <row r="265" spans="1:7" ht="18" customHeight="1" x14ac:dyDescent="0.2">
      <c r="A265" s="266" t="s">
        <v>330</v>
      </c>
      <c r="B265" s="266" t="s">
        <v>37</v>
      </c>
      <c r="C265" s="266" t="s">
        <v>539</v>
      </c>
      <c r="D265" s="266" t="s">
        <v>357</v>
      </c>
      <c r="E265" s="266" t="s">
        <v>357</v>
      </c>
      <c r="F265" s="267" t="s">
        <v>692</v>
      </c>
      <c r="G265" s="268" t="s">
        <v>540</v>
      </c>
    </row>
    <row r="266" spans="1:7" ht="18" customHeight="1" x14ac:dyDescent="0.2">
      <c r="A266" s="266" t="s">
        <v>330</v>
      </c>
      <c r="B266" s="266" t="s">
        <v>37</v>
      </c>
      <c r="C266" s="266" t="s">
        <v>541</v>
      </c>
      <c r="D266" s="266" t="s">
        <v>357</v>
      </c>
      <c r="E266" s="266" t="s">
        <v>357</v>
      </c>
      <c r="F266" s="267" t="s">
        <v>691</v>
      </c>
      <c r="G266" s="268" t="s">
        <v>542</v>
      </c>
    </row>
    <row r="267" spans="1:7" ht="18" customHeight="1" x14ac:dyDescent="0.2">
      <c r="A267" s="266" t="s">
        <v>330</v>
      </c>
      <c r="B267" s="267" t="s">
        <v>37</v>
      </c>
      <c r="C267" s="266" t="s">
        <v>1043</v>
      </c>
      <c r="D267" s="267" t="s">
        <v>357</v>
      </c>
      <c r="E267" s="267" t="s">
        <v>357</v>
      </c>
      <c r="F267" s="267" t="s">
        <v>1044</v>
      </c>
      <c r="G267" s="268" t="s">
        <v>1045</v>
      </c>
    </row>
    <row r="268" spans="1:7" ht="18" customHeight="1" x14ac:dyDescent="0.2">
      <c r="A268" s="266" t="s">
        <v>330</v>
      </c>
      <c r="B268" s="267" t="s">
        <v>37</v>
      </c>
      <c r="C268" s="266" t="s">
        <v>543</v>
      </c>
      <c r="D268" s="267" t="s">
        <v>357</v>
      </c>
      <c r="E268" s="267" t="s">
        <v>357</v>
      </c>
      <c r="F268" s="267" t="s">
        <v>690</v>
      </c>
      <c r="G268" s="268" t="s">
        <v>544</v>
      </c>
    </row>
    <row r="269" spans="1:7" ht="18" customHeight="1" x14ac:dyDescent="0.2">
      <c r="A269" s="266" t="s">
        <v>330</v>
      </c>
      <c r="B269" s="267" t="s">
        <v>37</v>
      </c>
      <c r="C269" s="266" t="s">
        <v>1064</v>
      </c>
      <c r="D269" s="267" t="s">
        <v>357</v>
      </c>
      <c r="E269" s="267" t="s">
        <v>357</v>
      </c>
      <c r="F269" s="267" t="s">
        <v>1067</v>
      </c>
      <c r="G269" s="274" t="s">
        <v>1070</v>
      </c>
    </row>
    <row r="270" spans="1:7" ht="18" customHeight="1" x14ac:dyDescent="0.2">
      <c r="A270" s="266" t="s">
        <v>330</v>
      </c>
      <c r="B270" s="267" t="s">
        <v>37</v>
      </c>
      <c r="C270" s="266" t="s">
        <v>1065</v>
      </c>
      <c r="D270" s="267" t="s">
        <v>357</v>
      </c>
      <c r="E270" s="267" t="s">
        <v>357</v>
      </c>
      <c r="F270" s="267" t="s">
        <v>1068</v>
      </c>
      <c r="G270" s="274" t="s">
        <v>1071</v>
      </c>
    </row>
    <row r="271" spans="1:7" ht="18" customHeight="1" x14ac:dyDescent="0.2">
      <c r="A271" s="266" t="s">
        <v>330</v>
      </c>
      <c r="B271" s="267" t="s">
        <v>37</v>
      </c>
      <c r="C271" s="266" t="s">
        <v>1066</v>
      </c>
      <c r="D271" s="267" t="s">
        <v>357</v>
      </c>
      <c r="E271" s="267" t="s">
        <v>357</v>
      </c>
      <c r="F271" s="267" t="s">
        <v>1069</v>
      </c>
      <c r="G271" s="268" t="s">
        <v>1072</v>
      </c>
    </row>
    <row r="272" spans="1:7" ht="18" customHeight="1" x14ac:dyDescent="0.2">
      <c r="A272" s="266" t="s">
        <v>330</v>
      </c>
      <c r="B272" s="266" t="s">
        <v>37</v>
      </c>
      <c r="C272" s="266" t="s">
        <v>545</v>
      </c>
      <c r="D272" s="266" t="s">
        <v>357</v>
      </c>
      <c r="E272" s="266" t="s">
        <v>357</v>
      </c>
      <c r="F272" s="267" t="s">
        <v>689</v>
      </c>
      <c r="G272" s="268" t="s">
        <v>546</v>
      </c>
    </row>
    <row r="273" spans="1:7" ht="18" customHeight="1" x14ac:dyDescent="0.2">
      <c r="A273" s="266" t="s">
        <v>330</v>
      </c>
      <c r="B273" s="266" t="s">
        <v>37</v>
      </c>
      <c r="C273" s="266" t="s">
        <v>547</v>
      </c>
      <c r="D273" s="266" t="s">
        <v>357</v>
      </c>
      <c r="E273" s="266" t="s">
        <v>357</v>
      </c>
      <c r="F273" s="267" t="s">
        <v>688</v>
      </c>
      <c r="G273" s="268" t="s">
        <v>548</v>
      </c>
    </row>
    <row r="274" spans="1:7" ht="18" customHeight="1" x14ac:dyDescent="0.2">
      <c r="A274" s="266" t="s">
        <v>330</v>
      </c>
      <c r="B274" s="266" t="s">
        <v>37</v>
      </c>
      <c r="C274" s="266" t="s">
        <v>549</v>
      </c>
      <c r="D274" s="266" t="s">
        <v>357</v>
      </c>
      <c r="E274" s="266" t="s">
        <v>357</v>
      </c>
      <c r="F274" s="267" t="s">
        <v>687</v>
      </c>
      <c r="G274" s="268" t="s">
        <v>550</v>
      </c>
    </row>
    <row r="275" spans="1:7" ht="18" customHeight="1" x14ac:dyDescent="0.2">
      <c r="A275" s="266" t="s">
        <v>330</v>
      </c>
      <c r="B275" s="266" t="s">
        <v>37</v>
      </c>
      <c r="C275" s="266" t="s">
        <v>551</v>
      </c>
      <c r="D275" s="266" t="s">
        <v>357</v>
      </c>
      <c r="E275" s="266" t="s">
        <v>357</v>
      </c>
      <c r="F275" s="267" t="s">
        <v>686</v>
      </c>
      <c r="G275" s="268" t="s">
        <v>552</v>
      </c>
    </row>
    <row r="276" spans="1:7" ht="18" customHeight="1" x14ac:dyDescent="0.2">
      <c r="A276" s="266" t="s">
        <v>330</v>
      </c>
      <c r="B276" s="266" t="s">
        <v>37</v>
      </c>
      <c r="C276" s="266" t="s">
        <v>553</v>
      </c>
      <c r="D276" s="266" t="s">
        <v>357</v>
      </c>
      <c r="E276" s="266" t="s">
        <v>357</v>
      </c>
      <c r="F276" s="267" t="s">
        <v>685</v>
      </c>
      <c r="G276" s="268" t="s">
        <v>554</v>
      </c>
    </row>
    <row r="277" spans="1:7" ht="18" customHeight="1" x14ac:dyDescent="0.2">
      <c r="A277" s="266" t="s">
        <v>330</v>
      </c>
      <c r="B277" s="266" t="s">
        <v>37</v>
      </c>
      <c r="C277" s="266" t="s">
        <v>555</v>
      </c>
      <c r="D277" s="266" t="s">
        <v>357</v>
      </c>
      <c r="E277" s="266" t="s">
        <v>357</v>
      </c>
      <c r="F277" s="267" t="s">
        <v>684</v>
      </c>
      <c r="G277" s="268" t="s">
        <v>556</v>
      </c>
    </row>
    <row r="278" spans="1:7" ht="18" customHeight="1" x14ac:dyDescent="0.2">
      <c r="A278" s="266" t="s">
        <v>330</v>
      </c>
      <c r="B278" s="266" t="s">
        <v>37</v>
      </c>
      <c r="C278" s="266" t="s">
        <v>557</v>
      </c>
      <c r="D278" s="266" t="s">
        <v>357</v>
      </c>
      <c r="E278" s="266" t="s">
        <v>357</v>
      </c>
      <c r="F278" s="267" t="s">
        <v>683</v>
      </c>
      <c r="G278" s="268" t="s">
        <v>558</v>
      </c>
    </row>
    <row r="279" spans="1:7" ht="18" customHeight="1" x14ac:dyDescent="0.2">
      <c r="A279" s="266" t="s">
        <v>330</v>
      </c>
      <c r="B279" s="266" t="s">
        <v>37</v>
      </c>
      <c r="C279" s="266" t="s">
        <v>559</v>
      </c>
      <c r="D279" s="266" t="s">
        <v>357</v>
      </c>
      <c r="E279" s="266" t="s">
        <v>357</v>
      </c>
      <c r="F279" s="267" t="s">
        <v>682</v>
      </c>
      <c r="G279" s="268" t="s">
        <v>560</v>
      </c>
    </row>
    <row r="280" spans="1:7" ht="18" customHeight="1" x14ac:dyDescent="0.2">
      <c r="A280" s="266" t="s">
        <v>330</v>
      </c>
      <c r="B280" s="266" t="s">
        <v>37</v>
      </c>
      <c r="C280" s="266" t="s">
        <v>561</v>
      </c>
      <c r="D280" s="266" t="s">
        <v>357</v>
      </c>
      <c r="E280" s="266" t="s">
        <v>357</v>
      </c>
      <c r="F280" s="267" t="s">
        <v>681</v>
      </c>
      <c r="G280" s="268" t="s">
        <v>562</v>
      </c>
    </row>
    <row r="281" spans="1:7" ht="18" customHeight="1" x14ac:dyDescent="0.2">
      <c r="A281" s="266" t="s">
        <v>330</v>
      </c>
      <c r="B281" s="266" t="s">
        <v>37</v>
      </c>
      <c r="C281" s="266" t="s">
        <v>563</v>
      </c>
      <c r="D281" s="266" t="s">
        <v>357</v>
      </c>
      <c r="E281" s="266" t="s">
        <v>357</v>
      </c>
      <c r="F281" s="267" t="s">
        <v>680</v>
      </c>
      <c r="G281" s="268" t="s">
        <v>564</v>
      </c>
    </row>
    <row r="282" spans="1:7" ht="18" customHeight="1" x14ac:dyDescent="0.2">
      <c r="A282" s="266" t="s">
        <v>330</v>
      </c>
      <c r="B282" s="266" t="s">
        <v>37</v>
      </c>
      <c r="C282" s="266" t="s">
        <v>565</v>
      </c>
      <c r="D282" s="266" t="s">
        <v>357</v>
      </c>
      <c r="E282" s="266" t="s">
        <v>357</v>
      </c>
      <c r="F282" s="267" t="s">
        <v>679</v>
      </c>
      <c r="G282" s="268" t="s">
        <v>566</v>
      </c>
    </row>
    <row r="283" spans="1:7" ht="18" customHeight="1" x14ac:dyDescent="0.2">
      <c r="A283" s="266" t="s">
        <v>330</v>
      </c>
      <c r="B283" s="266" t="s">
        <v>37</v>
      </c>
      <c r="C283" s="266" t="s">
        <v>567</v>
      </c>
      <c r="D283" s="266" t="s">
        <v>357</v>
      </c>
      <c r="E283" s="266" t="s">
        <v>357</v>
      </c>
      <c r="F283" s="267" t="s">
        <v>678</v>
      </c>
      <c r="G283" s="268" t="s">
        <v>568</v>
      </c>
    </row>
    <row r="284" spans="1:7" ht="18" customHeight="1" x14ac:dyDescent="0.2">
      <c r="A284" s="266" t="s">
        <v>330</v>
      </c>
      <c r="B284" s="266" t="s">
        <v>37</v>
      </c>
      <c r="C284" s="266" t="s">
        <v>569</v>
      </c>
      <c r="D284" s="266" t="s">
        <v>357</v>
      </c>
      <c r="E284" s="266" t="s">
        <v>357</v>
      </c>
      <c r="F284" s="267" t="s">
        <v>677</v>
      </c>
      <c r="G284" s="268" t="s">
        <v>570</v>
      </c>
    </row>
    <row r="285" spans="1:7" ht="18" customHeight="1" x14ac:dyDescent="0.2">
      <c r="A285" s="266" t="s">
        <v>330</v>
      </c>
      <c r="B285" s="266" t="s">
        <v>37</v>
      </c>
      <c r="C285" s="266" t="s">
        <v>571</v>
      </c>
      <c r="D285" s="266" t="s">
        <v>357</v>
      </c>
      <c r="E285" s="266" t="s">
        <v>357</v>
      </c>
      <c r="F285" s="267" t="s">
        <v>676</v>
      </c>
      <c r="G285" s="268" t="s">
        <v>572</v>
      </c>
    </row>
    <row r="286" spans="1:7" ht="18" customHeight="1" x14ac:dyDescent="0.2">
      <c r="A286" s="266" t="s">
        <v>330</v>
      </c>
      <c r="B286" s="266" t="s">
        <v>37</v>
      </c>
      <c r="C286" s="266" t="s">
        <v>340</v>
      </c>
      <c r="D286" s="266" t="s">
        <v>357</v>
      </c>
      <c r="E286" s="266" t="s">
        <v>357</v>
      </c>
      <c r="F286" s="267" t="s">
        <v>675</v>
      </c>
      <c r="G286" s="268" t="s">
        <v>573</v>
      </c>
    </row>
    <row r="287" spans="1:7" ht="18" customHeight="1" x14ac:dyDescent="0.2">
      <c r="A287" s="266" t="s">
        <v>330</v>
      </c>
      <c r="B287" s="266" t="s">
        <v>37</v>
      </c>
      <c r="C287" s="266" t="s">
        <v>339</v>
      </c>
      <c r="D287" s="266" t="s">
        <v>357</v>
      </c>
      <c r="E287" s="266" t="s">
        <v>357</v>
      </c>
      <c r="F287" s="267" t="s">
        <v>674</v>
      </c>
      <c r="G287" s="268" t="s">
        <v>574</v>
      </c>
    </row>
    <row r="288" spans="1:7" ht="18" customHeight="1" x14ac:dyDescent="0.2">
      <c r="A288" s="266" t="s">
        <v>330</v>
      </c>
      <c r="B288" s="266" t="s">
        <v>37</v>
      </c>
      <c r="C288" s="266" t="s">
        <v>338</v>
      </c>
      <c r="D288" s="266" t="s">
        <v>357</v>
      </c>
      <c r="E288" s="266" t="s">
        <v>357</v>
      </c>
      <c r="F288" s="267" t="s">
        <v>673</v>
      </c>
      <c r="G288" s="268" t="s">
        <v>575</v>
      </c>
    </row>
    <row r="289" spans="1:7" ht="18" customHeight="1" x14ac:dyDescent="0.2">
      <c r="A289" s="266" t="s">
        <v>330</v>
      </c>
      <c r="B289" s="266" t="s">
        <v>37</v>
      </c>
      <c r="C289" s="266" t="s">
        <v>337</v>
      </c>
      <c r="D289" s="266" t="s">
        <v>357</v>
      </c>
      <c r="E289" s="266" t="s">
        <v>357</v>
      </c>
      <c r="F289" s="267" t="s">
        <v>672</v>
      </c>
      <c r="G289" s="268" t="s">
        <v>576</v>
      </c>
    </row>
    <row r="290" spans="1:7" ht="18" customHeight="1" x14ac:dyDescent="0.2">
      <c r="A290" s="266" t="s">
        <v>330</v>
      </c>
      <c r="B290" s="267" t="s">
        <v>37</v>
      </c>
      <c r="C290" s="267" t="s">
        <v>1046</v>
      </c>
      <c r="D290" s="267" t="s">
        <v>357</v>
      </c>
      <c r="E290" s="267" t="s">
        <v>357</v>
      </c>
      <c r="F290" s="266" t="s">
        <v>1047</v>
      </c>
      <c r="G290" s="268" t="s">
        <v>1048</v>
      </c>
    </row>
    <row r="291" spans="1:7" ht="18" customHeight="1" x14ac:dyDescent="0.2">
      <c r="A291" s="266" t="s">
        <v>330</v>
      </c>
      <c r="B291" s="266" t="s">
        <v>37</v>
      </c>
      <c r="C291" s="266" t="s">
        <v>336</v>
      </c>
      <c r="D291" s="266" t="s">
        <v>357</v>
      </c>
      <c r="E291" s="266" t="s">
        <v>357</v>
      </c>
      <c r="F291" s="267" t="s">
        <v>671</v>
      </c>
      <c r="G291" s="268" t="s">
        <v>577</v>
      </c>
    </row>
    <row r="292" spans="1:7" ht="18" customHeight="1" x14ac:dyDescent="0.2">
      <c r="A292" s="266" t="s">
        <v>330</v>
      </c>
      <c r="B292" s="266" t="s">
        <v>37</v>
      </c>
      <c r="C292" s="266" t="s">
        <v>335</v>
      </c>
      <c r="D292" s="266" t="s">
        <v>357</v>
      </c>
      <c r="E292" s="266" t="s">
        <v>357</v>
      </c>
      <c r="F292" s="267" t="s">
        <v>670</v>
      </c>
      <c r="G292" s="268" t="s">
        <v>578</v>
      </c>
    </row>
    <row r="293" spans="1:7" ht="18" customHeight="1" x14ac:dyDescent="0.2">
      <c r="A293" s="266" t="s">
        <v>330</v>
      </c>
      <c r="B293" s="267" t="s">
        <v>37</v>
      </c>
      <c r="C293" s="266" t="s">
        <v>1049</v>
      </c>
      <c r="D293" s="267" t="s">
        <v>357</v>
      </c>
      <c r="E293" s="267" t="s">
        <v>357</v>
      </c>
      <c r="F293" s="266" t="s">
        <v>1050</v>
      </c>
      <c r="G293" s="268" t="s">
        <v>1051</v>
      </c>
    </row>
    <row r="294" spans="1:7" ht="18" customHeight="1" x14ac:dyDescent="0.2">
      <c r="A294" s="266" t="s">
        <v>330</v>
      </c>
      <c r="B294" s="266" t="s">
        <v>37</v>
      </c>
      <c r="C294" s="266" t="s">
        <v>579</v>
      </c>
      <c r="D294" s="266" t="s">
        <v>357</v>
      </c>
      <c r="E294" s="266" t="s">
        <v>357</v>
      </c>
      <c r="F294" s="267" t="s">
        <v>669</v>
      </c>
      <c r="G294" s="268" t="s">
        <v>341</v>
      </c>
    </row>
    <row r="295" spans="1:7" ht="18" customHeight="1" x14ac:dyDescent="0.2">
      <c r="A295" s="266" t="s">
        <v>330</v>
      </c>
      <c r="B295" s="267" t="s">
        <v>37</v>
      </c>
      <c r="C295" s="266" t="s">
        <v>1052</v>
      </c>
      <c r="D295" s="267" t="s">
        <v>357</v>
      </c>
      <c r="E295" s="267" t="s">
        <v>357</v>
      </c>
      <c r="F295" s="266" t="s">
        <v>1053</v>
      </c>
      <c r="G295" s="268" t="s">
        <v>1073</v>
      </c>
    </row>
    <row r="296" spans="1:7" ht="18" customHeight="1" x14ac:dyDescent="0.2">
      <c r="A296" s="266" t="s">
        <v>330</v>
      </c>
      <c r="B296" s="266" t="s">
        <v>37</v>
      </c>
      <c r="C296" s="266" t="s">
        <v>334</v>
      </c>
      <c r="D296" s="266" t="s">
        <v>357</v>
      </c>
      <c r="E296" s="266" t="s">
        <v>357</v>
      </c>
      <c r="F296" s="267" t="s">
        <v>668</v>
      </c>
      <c r="G296" s="268" t="s">
        <v>580</v>
      </c>
    </row>
    <row r="297" spans="1:7" ht="18" customHeight="1" x14ac:dyDescent="0.2">
      <c r="A297" s="266" t="s">
        <v>330</v>
      </c>
      <c r="B297" s="266" t="s">
        <v>37</v>
      </c>
      <c r="C297" s="266" t="s">
        <v>1054</v>
      </c>
      <c r="D297" s="266" t="s">
        <v>357</v>
      </c>
      <c r="E297" s="266" t="s">
        <v>357</v>
      </c>
      <c r="F297" s="267" t="s">
        <v>1055</v>
      </c>
      <c r="G297" s="268" t="s">
        <v>1074</v>
      </c>
    </row>
    <row r="298" spans="1:7" ht="18" customHeight="1" x14ac:dyDescent="0.2">
      <c r="A298" s="266" t="s">
        <v>330</v>
      </c>
      <c r="B298" s="266" t="s">
        <v>37</v>
      </c>
      <c r="C298" s="266" t="s">
        <v>1056</v>
      </c>
      <c r="D298" s="266" t="s">
        <v>357</v>
      </c>
      <c r="E298" s="266" t="s">
        <v>357</v>
      </c>
      <c r="F298" s="267" t="s">
        <v>1059</v>
      </c>
      <c r="G298" s="268" t="s">
        <v>1062</v>
      </c>
    </row>
    <row r="299" spans="1:7" ht="18" customHeight="1" x14ac:dyDescent="0.2">
      <c r="A299" s="266" t="s">
        <v>330</v>
      </c>
      <c r="B299" s="266" t="s">
        <v>37</v>
      </c>
      <c r="C299" s="266" t="s">
        <v>1057</v>
      </c>
      <c r="D299" s="266" t="s">
        <v>357</v>
      </c>
      <c r="E299" s="266" t="s">
        <v>357</v>
      </c>
      <c r="F299" s="267" t="s">
        <v>1060</v>
      </c>
      <c r="G299" s="268" t="s">
        <v>1063</v>
      </c>
    </row>
    <row r="300" spans="1:7" ht="18" customHeight="1" x14ac:dyDescent="0.2">
      <c r="A300" s="266" t="s">
        <v>330</v>
      </c>
      <c r="B300" s="266" t="s">
        <v>37</v>
      </c>
      <c r="C300" s="266" t="s">
        <v>1058</v>
      </c>
      <c r="D300" s="266" t="s">
        <v>357</v>
      </c>
      <c r="E300" s="266" t="s">
        <v>357</v>
      </c>
      <c r="F300" s="267" t="s">
        <v>1061</v>
      </c>
      <c r="G300" s="268" t="s">
        <v>1075</v>
      </c>
    </row>
    <row r="301" spans="1:7" ht="18" customHeight="1" x14ac:dyDescent="0.2">
      <c r="A301" s="266" t="s">
        <v>330</v>
      </c>
      <c r="B301" s="266" t="s">
        <v>37</v>
      </c>
      <c r="C301" s="266" t="s">
        <v>333</v>
      </c>
      <c r="D301" s="266" t="s">
        <v>357</v>
      </c>
      <c r="E301" s="266" t="s">
        <v>357</v>
      </c>
      <c r="F301" s="267" t="s">
        <v>667</v>
      </c>
      <c r="G301" s="268" t="s">
        <v>581</v>
      </c>
    </row>
    <row r="302" spans="1:7" ht="18" customHeight="1" x14ac:dyDescent="0.2">
      <c r="A302" s="266" t="s">
        <v>330</v>
      </c>
      <c r="B302" s="266" t="s">
        <v>37</v>
      </c>
      <c r="C302" s="266" t="s">
        <v>582</v>
      </c>
      <c r="D302" s="266" t="s">
        <v>357</v>
      </c>
      <c r="E302" s="266" t="s">
        <v>357</v>
      </c>
      <c r="F302" s="267" t="s">
        <v>666</v>
      </c>
      <c r="G302" s="268" t="s">
        <v>583</v>
      </c>
    </row>
    <row r="303" spans="1:7" ht="18" customHeight="1" x14ac:dyDescent="0.2">
      <c r="A303" s="266" t="s">
        <v>330</v>
      </c>
      <c r="B303" s="266" t="s">
        <v>37</v>
      </c>
      <c r="C303" s="266" t="s">
        <v>332</v>
      </c>
      <c r="D303" s="266" t="s">
        <v>357</v>
      </c>
      <c r="E303" s="266" t="s">
        <v>357</v>
      </c>
      <c r="F303" s="267" t="s">
        <v>665</v>
      </c>
      <c r="G303" s="268" t="s">
        <v>584</v>
      </c>
    </row>
    <row r="304" spans="1:7" ht="18" customHeight="1" x14ac:dyDescent="0.2">
      <c r="A304" s="266" t="s">
        <v>330</v>
      </c>
      <c r="B304" s="266" t="s">
        <v>37</v>
      </c>
      <c r="C304" s="266" t="s">
        <v>331</v>
      </c>
      <c r="D304" s="266" t="s">
        <v>357</v>
      </c>
      <c r="E304" s="266" t="s">
        <v>357</v>
      </c>
      <c r="F304" s="267" t="s">
        <v>664</v>
      </c>
      <c r="G304" s="268" t="s">
        <v>585</v>
      </c>
    </row>
    <row r="305" spans="1:7" ht="18" customHeight="1" x14ac:dyDescent="0.2">
      <c r="A305" s="266" t="s">
        <v>330</v>
      </c>
      <c r="B305" s="266" t="s">
        <v>37</v>
      </c>
      <c r="C305" s="266" t="s">
        <v>329</v>
      </c>
      <c r="D305" s="266" t="s">
        <v>357</v>
      </c>
      <c r="E305" s="266" t="s">
        <v>357</v>
      </c>
      <c r="F305" s="266" t="s">
        <v>663</v>
      </c>
      <c r="G305" s="268" t="s">
        <v>586</v>
      </c>
    </row>
    <row r="306" spans="1:7" ht="18" customHeight="1" x14ac:dyDescent="0.2">
      <c r="A306" s="266"/>
      <c r="B306" s="266"/>
      <c r="C306" s="266"/>
      <c r="D306" s="266"/>
      <c r="E306" s="266"/>
      <c r="F306" s="266"/>
      <c r="G306" s="268"/>
    </row>
    <row r="307" spans="1:7" ht="18" customHeight="1" x14ac:dyDescent="0.2">
      <c r="A307" s="266"/>
      <c r="B307" s="266"/>
      <c r="C307" s="266"/>
      <c r="D307" s="266"/>
      <c r="E307" s="266"/>
      <c r="F307" s="266"/>
      <c r="G307" s="268"/>
    </row>
    <row r="308" spans="1:7" ht="18" customHeight="1" x14ac:dyDescent="0.2">
      <c r="A308" s="266"/>
      <c r="B308" s="266"/>
      <c r="C308" s="266"/>
      <c r="D308" s="266"/>
      <c r="E308" s="266"/>
      <c r="F308" s="266"/>
      <c r="G308" s="268"/>
    </row>
    <row r="309" spans="1:7" ht="18" customHeight="1" x14ac:dyDescent="0.2">
      <c r="A309" s="266"/>
      <c r="B309" s="266"/>
      <c r="C309" s="266"/>
      <c r="D309" s="266"/>
      <c r="E309" s="266"/>
      <c r="F309" s="266"/>
      <c r="G309" s="268"/>
    </row>
    <row r="310" spans="1:7" ht="18" customHeight="1" x14ac:dyDescent="0.2">
      <c r="A310" s="266"/>
      <c r="B310" s="266"/>
      <c r="C310" s="266"/>
      <c r="D310" s="266"/>
      <c r="E310" s="266"/>
      <c r="F310" s="266"/>
      <c r="G310" s="268"/>
    </row>
    <row r="311" spans="1:7" ht="18" customHeight="1" x14ac:dyDescent="0.2">
      <c r="A311" s="266"/>
      <c r="B311" s="266"/>
      <c r="C311" s="266"/>
      <c r="D311" s="266"/>
      <c r="E311" s="266"/>
      <c r="F311" s="266"/>
      <c r="G311" s="268"/>
    </row>
    <row r="312" spans="1:7" ht="18" customHeight="1" x14ac:dyDescent="0.2">
      <c r="A312" s="266"/>
      <c r="B312" s="266"/>
      <c r="C312" s="266"/>
      <c r="D312" s="266"/>
      <c r="E312" s="266"/>
      <c r="F312" s="266"/>
      <c r="G312" s="268"/>
    </row>
    <row r="313" spans="1:7" ht="18" customHeight="1" x14ac:dyDescent="0.2">
      <c r="A313" s="266"/>
      <c r="B313" s="266"/>
      <c r="C313" s="266"/>
      <c r="D313" s="266"/>
      <c r="E313" s="266"/>
      <c r="F313" s="266"/>
      <c r="G313" s="268"/>
    </row>
    <row r="314" spans="1:7" ht="18" customHeight="1" x14ac:dyDescent="0.2">
      <c r="A314" s="266"/>
      <c r="B314" s="266"/>
      <c r="C314" s="266"/>
      <c r="D314" s="266"/>
      <c r="E314" s="266"/>
      <c r="F314" s="266"/>
      <c r="G314" s="268"/>
    </row>
    <row r="315" spans="1:7" ht="18" customHeight="1" x14ac:dyDescent="0.2">
      <c r="A315" s="266"/>
      <c r="B315" s="266"/>
      <c r="C315" s="266"/>
      <c r="D315" s="266"/>
      <c r="E315" s="266"/>
      <c r="F315" s="266"/>
      <c r="G315" s="268"/>
    </row>
    <row r="316" spans="1:7" ht="18" customHeight="1" x14ac:dyDescent="0.2">
      <c r="A316" s="266"/>
      <c r="B316" s="266"/>
      <c r="C316" s="266"/>
      <c r="D316" s="266"/>
      <c r="E316" s="266"/>
      <c r="F316" s="266"/>
      <c r="G316" s="268"/>
    </row>
    <row r="317" spans="1:7" ht="18" customHeight="1" x14ac:dyDescent="0.2">
      <c r="A317" s="266"/>
      <c r="B317" s="266"/>
      <c r="C317" s="266"/>
      <c r="D317" s="266"/>
      <c r="E317" s="266"/>
      <c r="F317" s="266"/>
      <c r="G317" s="268"/>
    </row>
    <row r="318" spans="1:7" ht="18" customHeight="1" x14ac:dyDescent="0.2">
      <c r="A318" s="266"/>
      <c r="B318" s="266"/>
      <c r="C318" s="266"/>
      <c r="D318" s="266"/>
      <c r="E318" s="266"/>
      <c r="F318" s="266"/>
      <c r="G318" s="268"/>
    </row>
    <row r="319" spans="1:7" ht="18" customHeight="1" x14ac:dyDescent="0.2">
      <c r="A319" s="266"/>
      <c r="B319" s="266"/>
      <c r="C319" s="266"/>
      <c r="D319" s="266"/>
      <c r="E319" s="266"/>
      <c r="F319" s="266"/>
      <c r="G319" s="268"/>
    </row>
    <row r="320" spans="1:7" ht="18" customHeight="1" x14ac:dyDescent="0.2">
      <c r="A320" s="266"/>
      <c r="B320" s="266"/>
      <c r="C320" s="266"/>
      <c r="D320" s="266"/>
      <c r="E320" s="266"/>
      <c r="F320" s="266"/>
      <c r="G320" s="268"/>
    </row>
    <row r="321" spans="1:7" ht="18" customHeight="1" x14ac:dyDescent="0.2">
      <c r="A321" s="266"/>
      <c r="B321" s="266"/>
      <c r="C321" s="266"/>
      <c r="D321" s="266"/>
      <c r="E321" s="266"/>
      <c r="F321" s="266"/>
      <c r="G321" s="268"/>
    </row>
    <row r="322" spans="1:7" ht="18" customHeight="1" x14ac:dyDescent="0.2">
      <c r="A322" s="266"/>
      <c r="B322" s="266"/>
      <c r="C322" s="266"/>
      <c r="D322" s="266"/>
      <c r="E322" s="266"/>
      <c r="F322" s="266"/>
      <c r="G322" s="268"/>
    </row>
    <row r="323" spans="1:7" ht="18" customHeight="1" x14ac:dyDescent="0.2">
      <c r="A323" s="266"/>
      <c r="B323" s="266"/>
      <c r="C323" s="266"/>
      <c r="D323" s="266"/>
      <c r="E323" s="266"/>
      <c r="F323" s="266"/>
      <c r="G323" s="268"/>
    </row>
    <row r="324" spans="1:7" ht="18" customHeight="1" x14ac:dyDescent="0.2">
      <c r="A324" s="266"/>
      <c r="B324" s="266"/>
      <c r="C324" s="266"/>
      <c r="D324" s="266"/>
      <c r="E324" s="266"/>
      <c r="F324" s="266"/>
      <c r="G324" s="268"/>
    </row>
    <row r="325" spans="1:7" ht="18" customHeight="1" x14ac:dyDescent="0.2">
      <c r="A325" s="266"/>
      <c r="B325" s="266"/>
      <c r="C325" s="266"/>
      <c r="D325" s="266"/>
      <c r="E325" s="266"/>
      <c r="F325" s="266"/>
      <c r="G325" s="268"/>
    </row>
    <row r="326" spans="1:7" ht="18" customHeight="1" x14ac:dyDescent="0.2">
      <c r="A326" s="266"/>
      <c r="B326" s="266"/>
      <c r="C326" s="266"/>
      <c r="D326" s="266"/>
      <c r="E326" s="266"/>
      <c r="F326" s="266"/>
      <c r="G326" s="268"/>
    </row>
    <row r="327" spans="1:7" ht="18" customHeight="1" x14ac:dyDescent="0.2">
      <c r="A327" s="266"/>
      <c r="B327" s="266"/>
      <c r="C327" s="266"/>
      <c r="D327" s="266"/>
      <c r="E327" s="266"/>
      <c r="F327" s="266"/>
      <c r="G327" s="268"/>
    </row>
    <row r="328" spans="1:7" ht="18" customHeight="1" x14ac:dyDescent="0.2">
      <c r="A328" s="266"/>
      <c r="B328" s="266"/>
      <c r="C328" s="266"/>
      <c r="D328" s="266"/>
      <c r="E328" s="266"/>
      <c r="F328" s="266"/>
      <c r="G328" s="268"/>
    </row>
    <row r="329" spans="1:7" ht="18" customHeight="1" x14ac:dyDescent="0.2">
      <c r="A329" s="266"/>
      <c r="B329" s="266"/>
      <c r="C329" s="266"/>
      <c r="D329" s="266"/>
      <c r="E329" s="266"/>
      <c r="F329" s="266"/>
      <c r="G329" s="268"/>
    </row>
    <row r="330" spans="1:7" ht="18" customHeight="1" x14ac:dyDescent="0.2">
      <c r="A330" s="266"/>
      <c r="B330" s="266"/>
      <c r="C330" s="266"/>
      <c r="D330" s="266"/>
      <c r="E330" s="266"/>
      <c r="F330" s="266"/>
      <c r="G330" s="268"/>
    </row>
    <row r="331" spans="1:7" ht="18" customHeight="1" x14ac:dyDescent="0.2">
      <c r="A331" s="266"/>
      <c r="B331" s="266"/>
      <c r="C331" s="266"/>
      <c r="D331" s="266"/>
      <c r="E331" s="266"/>
      <c r="F331" s="266"/>
      <c r="G331" s="268"/>
    </row>
    <row r="332" spans="1:7" ht="18" customHeight="1" x14ac:dyDescent="0.2">
      <c r="A332" s="266"/>
      <c r="B332" s="266"/>
      <c r="C332" s="266"/>
      <c r="D332" s="266"/>
      <c r="E332" s="266"/>
      <c r="F332" s="266"/>
      <c r="G332" s="268"/>
    </row>
    <row r="333" spans="1:7" ht="18" customHeight="1" x14ac:dyDescent="0.2">
      <c r="A333" s="266"/>
      <c r="B333" s="266"/>
      <c r="C333" s="266"/>
      <c r="D333" s="266"/>
      <c r="E333" s="266"/>
      <c r="F333" s="266"/>
      <c r="G333" s="268"/>
    </row>
    <row r="334" spans="1:7" ht="18" customHeight="1" x14ac:dyDescent="0.2">
      <c r="A334" s="266"/>
      <c r="B334" s="266"/>
      <c r="C334" s="266"/>
      <c r="D334" s="266"/>
      <c r="E334" s="266"/>
      <c r="F334" s="266"/>
      <c r="G334" s="268"/>
    </row>
    <row r="335" spans="1:7" ht="18" customHeight="1" x14ac:dyDescent="0.2">
      <c r="A335" s="266"/>
      <c r="B335" s="266"/>
      <c r="C335" s="266"/>
      <c r="D335" s="266"/>
      <c r="E335" s="266"/>
      <c r="F335" s="266"/>
      <c r="G335" s="268"/>
    </row>
    <row r="336" spans="1:7" ht="18" customHeight="1" x14ac:dyDescent="0.2">
      <c r="A336" s="266"/>
      <c r="B336" s="266"/>
      <c r="C336" s="266"/>
      <c r="D336" s="266"/>
      <c r="E336" s="266"/>
      <c r="F336" s="266"/>
      <c r="G336" s="268"/>
    </row>
    <row r="337" spans="1:7" ht="18" customHeight="1" x14ac:dyDescent="0.2">
      <c r="A337" s="266"/>
      <c r="B337" s="266"/>
      <c r="C337" s="266"/>
      <c r="D337" s="266"/>
      <c r="E337" s="266"/>
      <c r="F337" s="266"/>
      <c r="G337" s="268"/>
    </row>
    <row r="338" spans="1:7" ht="18" customHeight="1" x14ac:dyDescent="0.2">
      <c r="A338" s="266"/>
      <c r="B338" s="266"/>
      <c r="C338" s="266"/>
      <c r="D338" s="266"/>
      <c r="E338" s="266"/>
      <c r="F338" s="266"/>
      <c r="G338" s="268"/>
    </row>
    <row r="339" spans="1:7" ht="18" customHeight="1" x14ac:dyDescent="0.2">
      <c r="A339" s="266"/>
      <c r="B339" s="266"/>
      <c r="C339" s="266"/>
      <c r="D339" s="266"/>
      <c r="E339" s="266"/>
      <c r="F339" s="267"/>
      <c r="G339" s="268"/>
    </row>
    <row r="340" spans="1:7" ht="18" customHeight="1" x14ac:dyDescent="0.2">
      <c r="A340" s="266"/>
      <c r="B340" s="266"/>
      <c r="C340" s="266"/>
      <c r="D340" s="266"/>
      <c r="E340" s="266"/>
      <c r="F340" s="266"/>
      <c r="G340" s="268"/>
    </row>
    <row r="341" spans="1:7" ht="18" customHeight="1" x14ac:dyDescent="0.2">
      <c r="A341" s="266"/>
      <c r="B341" s="266"/>
      <c r="C341" s="266"/>
      <c r="D341" s="266"/>
      <c r="E341" s="266"/>
      <c r="F341" s="266"/>
      <c r="G341" s="268"/>
    </row>
    <row r="342" spans="1:7" ht="18" customHeight="1" x14ac:dyDescent="0.2">
      <c r="A342" s="266"/>
      <c r="B342" s="266"/>
      <c r="C342" s="266"/>
      <c r="D342" s="266"/>
      <c r="E342" s="266"/>
      <c r="F342" s="266"/>
      <c r="G342" s="268"/>
    </row>
    <row r="343" spans="1:7" ht="18" customHeight="1" x14ac:dyDescent="0.2">
      <c r="A343" s="266"/>
      <c r="B343" s="266"/>
      <c r="C343" s="266"/>
      <c r="D343" s="266"/>
      <c r="E343" s="266"/>
      <c r="F343" s="266"/>
      <c r="G343" s="268"/>
    </row>
    <row r="344" spans="1:7" ht="18" customHeight="1" x14ac:dyDescent="0.2">
      <c r="A344" s="266"/>
      <c r="B344" s="266"/>
      <c r="C344" s="266"/>
      <c r="D344" s="266"/>
      <c r="E344" s="266"/>
      <c r="F344" s="266"/>
      <c r="G344" s="268"/>
    </row>
    <row r="345" spans="1:7" ht="18" customHeight="1" x14ac:dyDescent="0.2">
      <c r="A345" s="266"/>
      <c r="B345" s="266"/>
      <c r="C345" s="266"/>
      <c r="D345" s="266"/>
      <c r="E345" s="266"/>
      <c r="F345" s="266"/>
      <c r="G345" s="268"/>
    </row>
    <row r="346" spans="1:7" ht="18" customHeight="1" x14ac:dyDescent="0.2">
      <c r="A346" s="266"/>
      <c r="B346" s="266"/>
      <c r="C346" s="266"/>
      <c r="D346" s="266"/>
      <c r="E346" s="266"/>
      <c r="F346" s="266"/>
      <c r="G346" s="268"/>
    </row>
    <row r="347" spans="1:7" ht="18" customHeight="1" x14ac:dyDescent="0.2">
      <c r="A347" s="266"/>
      <c r="B347" s="266"/>
      <c r="C347" s="266"/>
      <c r="D347" s="266"/>
      <c r="E347" s="266"/>
      <c r="F347" s="266"/>
      <c r="G347" s="268"/>
    </row>
    <row r="348" spans="1:7" ht="18" customHeight="1" x14ac:dyDescent="0.2">
      <c r="A348" s="266"/>
      <c r="B348" s="266"/>
      <c r="C348" s="266"/>
      <c r="D348" s="266"/>
      <c r="E348" s="266"/>
      <c r="F348" s="266"/>
      <c r="G348" s="268"/>
    </row>
    <row r="349" spans="1:7" ht="18" customHeight="1" x14ac:dyDescent="0.2">
      <c r="A349" s="266"/>
      <c r="B349" s="266"/>
      <c r="C349" s="266"/>
      <c r="D349" s="266"/>
      <c r="E349" s="266"/>
      <c r="F349" s="266"/>
      <c r="G349" s="268"/>
    </row>
    <row r="350" spans="1:7" ht="18" customHeight="1" x14ac:dyDescent="0.2">
      <c r="A350" s="266"/>
      <c r="B350" s="266"/>
      <c r="C350" s="266"/>
      <c r="D350" s="266"/>
      <c r="E350" s="266"/>
      <c r="F350" s="266"/>
      <c r="G350" s="268"/>
    </row>
    <row r="351" spans="1:7" ht="18" customHeight="1" x14ac:dyDescent="0.2">
      <c r="A351" s="266"/>
      <c r="B351" s="266"/>
      <c r="C351" s="266"/>
      <c r="D351" s="266"/>
      <c r="E351" s="266"/>
      <c r="F351" s="266"/>
      <c r="G351" s="268"/>
    </row>
    <row r="352" spans="1:7" ht="18" customHeight="1" x14ac:dyDescent="0.2">
      <c r="A352" s="266"/>
      <c r="B352" s="266"/>
      <c r="C352" s="266"/>
      <c r="D352" s="266"/>
      <c r="E352" s="266"/>
      <c r="F352" s="266"/>
      <c r="G352" s="268"/>
    </row>
    <row r="353" spans="1:7" ht="18" customHeight="1" x14ac:dyDescent="0.2">
      <c r="A353" s="266"/>
      <c r="B353" s="266"/>
      <c r="C353" s="266"/>
      <c r="D353" s="266"/>
      <c r="E353" s="266"/>
      <c r="F353" s="266"/>
      <c r="G353" s="268"/>
    </row>
    <row r="354" spans="1:7" ht="18" customHeight="1" x14ac:dyDescent="0.2">
      <c r="A354" s="266"/>
      <c r="B354" s="266"/>
      <c r="C354" s="266"/>
      <c r="D354" s="266"/>
      <c r="E354" s="266"/>
      <c r="F354" s="266"/>
      <c r="G354" s="268"/>
    </row>
    <row r="355" spans="1:7" ht="18" customHeight="1" x14ac:dyDescent="0.2">
      <c r="A355" s="266"/>
      <c r="B355" s="266"/>
      <c r="C355" s="266"/>
      <c r="D355" s="266"/>
      <c r="E355" s="266"/>
      <c r="F355" s="266"/>
      <c r="G355" s="268"/>
    </row>
    <row r="356" spans="1:7" ht="18" customHeight="1" x14ac:dyDescent="0.2">
      <c r="A356" s="266"/>
      <c r="B356" s="266"/>
      <c r="C356" s="266"/>
      <c r="D356" s="266"/>
      <c r="E356" s="266"/>
      <c r="F356" s="266"/>
      <c r="G356" s="268"/>
    </row>
    <row r="357" spans="1:7" ht="18" customHeight="1" x14ac:dyDescent="0.2">
      <c r="A357" s="266"/>
      <c r="B357" s="266"/>
      <c r="C357" s="266"/>
      <c r="D357" s="266"/>
      <c r="E357" s="266"/>
      <c r="F357" s="266"/>
      <c r="G357" s="268"/>
    </row>
    <row r="358" spans="1:7" ht="18" customHeight="1" x14ac:dyDescent="0.2">
      <c r="A358" s="266"/>
      <c r="B358" s="266"/>
      <c r="C358" s="266"/>
      <c r="D358" s="266"/>
      <c r="E358" s="266"/>
      <c r="F358" s="266"/>
      <c r="G358" s="268"/>
    </row>
    <row r="359" spans="1:7" ht="18" customHeight="1" x14ac:dyDescent="0.2">
      <c r="A359" s="266"/>
      <c r="B359" s="266"/>
      <c r="C359" s="266"/>
      <c r="D359" s="266"/>
      <c r="E359" s="266"/>
      <c r="F359" s="266"/>
      <c r="G359" s="268"/>
    </row>
    <row r="360" spans="1:7" ht="18" customHeight="1" x14ac:dyDescent="0.2">
      <c r="A360" s="266"/>
      <c r="B360" s="266"/>
      <c r="C360" s="266"/>
      <c r="D360" s="266"/>
      <c r="E360" s="266"/>
      <c r="F360" s="266"/>
      <c r="G360" s="268"/>
    </row>
    <row r="361" spans="1:7" ht="18" customHeight="1" x14ac:dyDescent="0.2">
      <c r="A361" s="266"/>
      <c r="B361" s="266"/>
      <c r="C361" s="266"/>
      <c r="D361" s="266"/>
      <c r="E361" s="266"/>
      <c r="F361" s="266"/>
      <c r="G361" s="268"/>
    </row>
    <row r="362" spans="1:7" ht="18" customHeight="1" x14ac:dyDescent="0.2">
      <c r="A362" s="266"/>
      <c r="B362" s="266"/>
      <c r="C362" s="266"/>
      <c r="D362" s="266"/>
      <c r="E362" s="266"/>
      <c r="F362" s="266"/>
      <c r="G362" s="268"/>
    </row>
    <row r="363" spans="1:7" ht="18" customHeight="1" x14ac:dyDescent="0.2">
      <c r="A363" s="266"/>
      <c r="B363" s="266"/>
      <c r="C363" s="266"/>
      <c r="D363" s="266"/>
      <c r="E363" s="266"/>
      <c r="F363" s="266"/>
      <c r="G363" s="268"/>
    </row>
    <row r="364" spans="1:7" ht="18" customHeight="1" x14ac:dyDescent="0.2">
      <c r="A364" s="266"/>
      <c r="B364" s="266"/>
      <c r="C364" s="266"/>
      <c r="D364" s="266"/>
      <c r="E364" s="266"/>
      <c r="F364" s="266"/>
      <c r="G364" s="268"/>
    </row>
    <row r="365" spans="1:7" ht="18" customHeight="1" x14ac:dyDescent="0.2">
      <c r="A365" s="266"/>
      <c r="B365" s="266"/>
      <c r="C365" s="266"/>
      <c r="D365" s="266"/>
      <c r="E365" s="266"/>
      <c r="F365" s="266"/>
      <c r="G365" s="268"/>
    </row>
    <row r="366" spans="1:7" ht="18" customHeight="1" x14ac:dyDescent="0.2">
      <c r="A366" s="266"/>
      <c r="B366" s="266"/>
      <c r="C366" s="266"/>
      <c r="D366" s="266"/>
      <c r="E366" s="266"/>
      <c r="F366" s="266"/>
      <c r="G366" s="268"/>
    </row>
    <row r="367" spans="1:7" ht="18" customHeight="1" x14ac:dyDescent="0.2">
      <c r="A367" s="266"/>
      <c r="B367" s="266"/>
      <c r="C367" s="266"/>
      <c r="D367" s="266"/>
      <c r="E367" s="266"/>
      <c r="F367" s="266"/>
      <c r="G367" s="268"/>
    </row>
    <row r="368" spans="1:7" ht="18" customHeight="1" x14ac:dyDescent="0.2">
      <c r="A368" s="266"/>
      <c r="B368" s="266"/>
      <c r="C368" s="266"/>
      <c r="D368" s="266"/>
      <c r="E368" s="266"/>
      <c r="F368" s="266"/>
      <c r="G368" s="268"/>
    </row>
    <row r="369" spans="1:7" ht="18" customHeight="1" x14ac:dyDescent="0.2">
      <c r="A369" s="266"/>
      <c r="B369" s="266"/>
      <c r="C369" s="266"/>
      <c r="D369" s="266"/>
      <c r="E369" s="266"/>
      <c r="F369" s="266"/>
      <c r="G369" s="268"/>
    </row>
    <row r="370" spans="1:7" ht="18" customHeight="1" x14ac:dyDescent="0.2">
      <c r="A370" s="266"/>
      <c r="B370" s="266"/>
      <c r="C370" s="266"/>
      <c r="D370" s="266"/>
      <c r="E370" s="266"/>
      <c r="F370" s="266"/>
      <c r="G370" s="268"/>
    </row>
    <row r="371" spans="1:7" ht="18" customHeight="1" x14ac:dyDescent="0.2">
      <c r="A371" s="266"/>
      <c r="B371" s="266"/>
      <c r="C371" s="266"/>
      <c r="D371" s="266"/>
      <c r="E371" s="266"/>
      <c r="F371" s="266"/>
      <c r="G371" s="268"/>
    </row>
    <row r="372" spans="1:7" ht="18" customHeight="1" x14ac:dyDescent="0.2">
      <c r="A372" s="266"/>
      <c r="B372" s="266"/>
      <c r="C372" s="266"/>
      <c r="D372" s="266"/>
      <c r="E372" s="266"/>
      <c r="F372" s="266"/>
      <c r="G372" s="268"/>
    </row>
    <row r="373" spans="1:7" ht="18" customHeight="1" x14ac:dyDescent="0.2">
      <c r="A373" s="266"/>
      <c r="B373" s="266"/>
      <c r="C373" s="266"/>
      <c r="D373" s="266"/>
      <c r="E373" s="266"/>
      <c r="F373" s="266"/>
      <c r="G373" s="268"/>
    </row>
    <row r="374" spans="1:7" ht="18" customHeight="1" x14ac:dyDescent="0.2">
      <c r="A374" s="266"/>
      <c r="B374" s="266"/>
      <c r="C374" s="266"/>
      <c r="D374" s="266"/>
      <c r="E374" s="266"/>
      <c r="F374" s="266"/>
      <c r="G374" s="268"/>
    </row>
    <row r="375" spans="1:7" ht="18" customHeight="1" x14ac:dyDescent="0.2">
      <c r="A375" s="266"/>
      <c r="B375" s="266"/>
      <c r="C375" s="266"/>
      <c r="D375" s="266"/>
      <c r="E375" s="266"/>
      <c r="F375" s="266"/>
      <c r="G375" s="268"/>
    </row>
    <row r="376" spans="1:7" ht="18" customHeight="1" x14ac:dyDescent="0.2">
      <c r="A376" s="266"/>
      <c r="B376" s="266"/>
      <c r="C376" s="266"/>
      <c r="D376" s="266"/>
      <c r="E376" s="266"/>
      <c r="F376" s="266"/>
      <c r="G376" s="268"/>
    </row>
    <row r="377" spans="1:7" ht="18" customHeight="1" x14ac:dyDescent="0.2">
      <c r="A377" s="266"/>
      <c r="B377" s="266"/>
      <c r="C377" s="266"/>
      <c r="D377" s="266"/>
      <c r="E377" s="266"/>
      <c r="F377" s="266"/>
      <c r="G377" s="268"/>
    </row>
    <row r="378" spans="1:7" ht="18" customHeight="1" x14ac:dyDescent="0.2">
      <c r="A378" s="266"/>
      <c r="B378" s="266"/>
      <c r="C378" s="266"/>
      <c r="D378" s="266"/>
      <c r="E378" s="266"/>
      <c r="F378" s="266"/>
      <c r="G378" s="268"/>
    </row>
    <row r="379" spans="1:7" ht="18" customHeight="1" x14ac:dyDescent="0.2">
      <c r="A379" s="266"/>
      <c r="B379" s="266"/>
      <c r="C379" s="266"/>
      <c r="D379" s="266"/>
      <c r="E379" s="266"/>
      <c r="F379" s="266"/>
      <c r="G379" s="268"/>
    </row>
    <row r="380" spans="1:7" ht="18" customHeight="1" x14ac:dyDescent="0.2">
      <c r="A380" s="266"/>
      <c r="B380" s="266"/>
      <c r="C380" s="266"/>
      <c r="D380" s="266"/>
      <c r="E380" s="266"/>
      <c r="F380" s="266"/>
      <c r="G380" s="268"/>
    </row>
    <row r="381" spans="1:7" ht="18" customHeight="1" x14ac:dyDescent="0.2">
      <c r="A381" s="266"/>
      <c r="B381" s="266"/>
      <c r="C381" s="266"/>
      <c r="D381" s="266"/>
      <c r="E381" s="266"/>
      <c r="F381" s="266"/>
      <c r="G381" s="268"/>
    </row>
    <row r="382" spans="1:7" ht="18" customHeight="1" x14ac:dyDescent="0.2">
      <c r="A382" s="266"/>
      <c r="B382" s="266"/>
      <c r="C382" s="266"/>
      <c r="D382" s="266"/>
      <c r="E382" s="266"/>
      <c r="F382" s="266"/>
      <c r="G382" s="268"/>
    </row>
    <row r="383" spans="1:7" ht="18" customHeight="1" x14ac:dyDescent="0.2">
      <c r="A383" s="266"/>
      <c r="B383" s="266"/>
      <c r="C383" s="266"/>
      <c r="D383" s="266"/>
      <c r="E383" s="266"/>
      <c r="F383" s="266"/>
      <c r="G383" s="268"/>
    </row>
    <row r="384" spans="1:7" ht="18" customHeight="1" x14ac:dyDescent="0.2">
      <c r="A384" s="266"/>
      <c r="B384" s="266"/>
      <c r="C384" s="266"/>
      <c r="D384" s="266"/>
      <c r="E384" s="266"/>
      <c r="F384" s="266"/>
      <c r="G384" s="268"/>
    </row>
    <row r="385" spans="1:7" ht="18" customHeight="1" x14ac:dyDescent="0.2">
      <c r="A385" s="266"/>
      <c r="B385" s="266"/>
      <c r="C385" s="266"/>
      <c r="D385" s="266"/>
      <c r="E385" s="266"/>
      <c r="F385" s="266"/>
      <c r="G385" s="268"/>
    </row>
    <row r="386" spans="1:7" ht="18" customHeight="1" x14ac:dyDescent="0.2">
      <c r="A386" s="266"/>
      <c r="B386" s="266"/>
      <c r="C386" s="266"/>
      <c r="D386" s="266"/>
      <c r="E386" s="266"/>
      <c r="F386" s="266"/>
      <c r="G386" s="268"/>
    </row>
  </sheetData>
  <sheetProtection algorithmName="SHA-512" hashValue="cZWCygY9O6wIEE899uOTpq+jW74lY1YHui9ykK+odtUU7AC7KojWDuViRrrUWnHsOgYc1GWDmmYx5NaiZtwmIQ==" saltValue="tD/lxjh0kYqOxDzp7bZpsw==" spinCount="100000" sheet="1" objects="1" scenarios="1"/>
  <sortState xmlns:xlrd2="http://schemas.microsoft.com/office/spreadsheetml/2017/richdata2" ref="A2:G245">
    <sortCondition ref="A2:A245"/>
    <sortCondition ref="B2:B245"/>
    <sortCondition ref="C2:C245"/>
    <sortCondition ref="D2:D245"/>
    <sortCondition ref="E2:E245"/>
  </sortState>
  <phoneticPr fontId="27" type="noConversion"/>
  <pageMargins left="0.7" right="0.7" top="0.75" bottom="0.75" header="0.3" footer="0.3"/>
  <ignoredErrors>
    <ignoredError sqref="B2" numberStoredAsText="1"/>
  </ignoredErrors>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E204-B4A3-4F28-BF51-9912E2266772}">
  <dimension ref="B1:T202"/>
  <sheetViews>
    <sheetView showGridLines="0" showRowColHeaders="0" zoomScaleNormal="100" workbookViewId="0">
      <selection activeCell="H209" sqref="H209"/>
    </sheetView>
  </sheetViews>
  <sheetFormatPr defaultRowHeight="12.75" x14ac:dyDescent="0.2"/>
  <cols>
    <col min="1" max="1" width="3.5703125" customWidth="1"/>
  </cols>
  <sheetData>
    <row r="1" spans="2:2" ht="18.75" x14ac:dyDescent="0.3">
      <c r="B1" s="232" t="s">
        <v>634</v>
      </c>
    </row>
    <row r="3" spans="2:2" x14ac:dyDescent="0.2">
      <c r="B3" s="11" t="s">
        <v>648</v>
      </c>
    </row>
    <row r="16" spans="2:2" x14ac:dyDescent="0.2">
      <c r="B16" s="11" t="s">
        <v>635</v>
      </c>
    </row>
    <row r="30" spans="2:2" x14ac:dyDescent="0.2">
      <c r="B30" s="11" t="s">
        <v>649</v>
      </c>
    </row>
    <row r="41" spans="2:2" x14ac:dyDescent="0.2">
      <c r="B41" s="11" t="s">
        <v>636</v>
      </c>
    </row>
    <row r="56" spans="2:8" x14ac:dyDescent="0.2">
      <c r="H56" s="11" t="s">
        <v>642</v>
      </c>
    </row>
    <row r="57" spans="2:8" x14ac:dyDescent="0.2">
      <c r="B57" s="11" t="s">
        <v>637</v>
      </c>
    </row>
    <row r="70" spans="2:2" x14ac:dyDescent="0.2">
      <c r="B70" s="11" t="s">
        <v>644</v>
      </c>
    </row>
    <row r="88" spans="2:2" x14ac:dyDescent="0.2">
      <c r="B88" s="11" t="s">
        <v>647</v>
      </c>
    </row>
    <row r="91" spans="2:2" x14ac:dyDescent="0.2">
      <c r="B91" s="11" t="s">
        <v>645</v>
      </c>
    </row>
    <row r="110" spans="2:2" x14ac:dyDescent="0.2">
      <c r="B110" s="11" t="s">
        <v>638</v>
      </c>
    </row>
    <row r="122" spans="2:2" x14ac:dyDescent="0.2">
      <c r="B122" s="11" t="s">
        <v>639</v>
      </c>
    </row>
    <row r="142" spans="2:2" x14ac:dyDescent="0.2">
      <c r="B142" s="11" t="s">
        <v>640</v>
      </c>
    </row>
    <row r="144" spans="2:2" x14ac:dyDescent="0.2">
      <c r="B144" s="11" t="s">
        <v>641</v>
      </c>
    </row>
    <row r="191" spans="2:20" ht="13.5" thickBot="1" x14ac:dyDescent="0.25"/>
    <row r="192" spans="2:20" ht="15" x14ac:dyDescent="0.25">
      <c r="B192" s="235" t="s">
        <v>650</v>
      </c>
      <c r="C192" s="236"/>
      <c r="D192" s="236"/>
      <c r="E192" s="236"/>
      <c r="F192" s="236"/>
      <c r="G192" s="236"/>
      <c r="H192" s="236"/>
      <c r="I192" s="236"/>
      <c r="J192" s="236"/>
      <c r="K192" s="236"/>
      <c r="L192" s="236"/>
      <c r="M192" s="236"/>
      <c r="N192" s="236"/>
      <c r="O192" s="236"/>
      <c r="P192" s="236"/>
      <c r="Q192" s="236"/>
      <c r="R192" s="236"/>
      <c r="S192" s="236"/>
      <c r="T192" s="237"/>
    </row>
    <row r="193" spans="2:20" x14ac:dyDescent="0.2">
      <c r="B193" s="238"/>
      <c r="C193" s="172"/>
      <c r="D193" s="172"/>
      <c r="E193" s="172"/>
      <c r="F193" s="172"/>
      <c r="G193" s="172"/>
      <c r="H193" s="172"/>
      <c r="I193" s="172"/>
      <c r="J193" s="172"/>
      <c r="K193" s="172"/>
      <c r="L193" s="172"/>
      <c r="M193" s="172"/>
      <c r="N193" s="172"/>
      <c r="O193" s="172"/>
      <c r="P193" s="172"/>
      <c r="Q193" s="172"/>
      <c r="R193" s="172"/>
      <c r="S193" s="172"/>
      <c r="T193" s="239"/>
    </row>
    <row r="194" spans="2:20" ht="15" x14ac:dyDescent="0.2">
      <c r="B194" s="238"/>
      <c r="C194" s="240" t="s">
        <v>652</v>
      </c>
      <c r="D194" s="172"/>
      <c r="E194" s="172"/>
      <c r="F194" s="172"/>
      <c r="G194" s="172"/>
      <c r="H194" s="172"/>
      <c r="I194" s="172"/>
      <c r="J194" s="172"/>
      <c r="K194" s="172"/>
      <c r="L194" s="172"/>
      <c r="M194" s="172"/>
      <c r="N194" s="172"/>
      <c r="O194" s="172"/>
      <c r="P194" s="172"/>
      <c r="Q194" s="172"/>
      <c r="R194" s="172"/>
      <c r="S194" s="172"/>
      <c r="T194" s="239"/>
    </row>
    <row r="195" spans="2:20" ht="15" x14ac:dyDescent="0.2">
      <c r="B195" s="238"/>
      <c r="C195" s="240"/>
      <c r="D195" s="172"/>
      <c r="E195" s="172"/>
      <c r="F195" s="172"/>
      <c r="G195" s="172"/>
      <c r="H195" s="172"/>
      <c r="I195" s="172"/>
      <c r="J195" s="172"/>
      <c r="K195" s="172"/>
      <c r="L195" s="172"/>
      <c r="M195" s="172"/>
      <c r="N195" s="172"/>
      <c r="O195" s="172"/>
      <c r="P195" s="172"/>
      <c r="Q195" s="172"/>
      <c r="R195" s="172"/>
      <c r="S195" s="172"/>
      <c r="T195" s="239"/>
    </row>
    <row r="196" spans="2:20" ht="15" x14ac:dyDescent="0.2">
      <c r="B196" s="238"/>
      <c r="C196" s="241" t="s">
        <v>651</v>
      </c>
      <c r="D196" s="172"/>
      <c r="E196" s="172"/>
      <c r="F196" s="172"/>
      <c r="G196" s="172"/>
      <c r="H196" s="172"/>
      <c r="I196" s="172"/>
      <c r="J196" s="172"/>
      <c r="K196" s="172"/>
      <c r="L196" s="172"/>
      <c r="M196" s="172"/>
      <c r="N196" s="172"/>
      <c r="O196" s="172"/>
      <c r="P196" s="172"/>
      <c r="Q196" s="172"/>
      <c r="R196" s="172"/>
      <c r="S196" s="172"/>
      <c r="T196" s="239"/>
    </row>
    <row r="197" spans="2:20" ht="15" x14ac:dyDescent="0.2">
      <c r="B197" s="238"/>
      <c r="C197" s="241" t="s">
        <v>653</v>
      </c>
      <c r="D197" s="172"/>
      <c r="E197" s="172"/>
      <c r="F197" s="172"/>
      <c r="G197" s="172"/>
      <c r="H197" s="172"/>
      <c r="I197" s="172"/>
      <c r="J197" s="172"/>
      <c r="K197" s="172"/>
      <c r="L197" s="172"/>
      <c r="M197" s="172"/>
      <c r="N197" s="172"/>
      <c r="O197" s="172"/>
      <c r="P197" s="172"/>
      <c r="Q197" s="172"/>
      <c r="R197" s="172"/>
      <c r="S197" s="172"/>
      <c r="T197" s="239"/>
    </row>
    <row r="198" spans="2:20" ht="15" x14ac:dyDescent="0.2">
      <c r="B198" s="238"/>
      <c r="C198" s="241" t="s">
        <v>654</v>
      </c>
      <c r="D198" s="172"/>
      <c r="E198" s="172"/>
      <c r="F198" s="172"/>
      <c r="G198" s="172"/>
      <c r="H198" s="172"/>
      <c r="I198" s="172"/>
      <c r="J198" s="172"/>
      <c r="K198" s="172"/>
      <c r="L198" s="172"/>
      <c r="M198" s="172"/>
      <c r="N198" s="172"/>
      <c r="O198" s="172"/>
      <c r="P198" s="172"/>
      <c r="Q198" s="172"/>
      <c r="R198" s="172"/>
      <c r="S198" s="172"/>
      <c r="T198" s="239"/>
    </row>
    <row r="199" spans="2:20" ht="15" x14ac:dyDescent="0.2">
      <c r="B199" s="238"/>
      <c r="C199" s="241" t="s">
        <v>655</v>
      </c>
      <c r="D199" s="172"/>
      <c r="E199" s="172"/>
      <c r="F199" s="172"/>
      <c r="G199" s="172"/>
      <c r="H199" s="172"/>
      <c r="I199" s="172"/>
      <c r="J199" s="172"/>
      <c r="K199" s="172"/>
      <c r="L199" s="172"/>
      <c r="M199" s="172"/>
      <c r="N199" s="172"/>
      <c r="O199" s="172"/>
      <c r="P199" s="172"/>
      <c r="Q199" s="172"/>
      <c r="R199" s="172"/>
      <c r="S199" s="172"/>
      <c r="T199" s="239"/>
    </row>
    <row r="200" spans="2:20" ht="15" x14ac:dyDescent="0.2">
      <c r="B200" s="238"/>
      <c r="C200" s="240"/>
      <c r="D200" s="172"/>
      <c r="E200" s="172"/>
      <c r="F200" s="172"/>
      <c r="G200" s="172"/>
      <c r="H200" s="172"/>
      <c r="I200" s="172"/>
      <c r="J200" s="172"/>
      <c r="K200" s="172"/>
      <c r="L200" s="172"/>
      <c r="M200" s="172"/>
      <c r="N200" s="172"/>
      <c r="O200" s="172"/>
      <c r="P200" s="172"/>
      <c r="Q200" s="172"/>
      <c r="R200" s="172"/>
      <c r="S200" s="172"/>
      <c r="T200" s="239"/>
    </row>
    <row r="201" spans="2:20" ht="15" x14ac:dyDescent="0.25">
      <c r="B201" s="238"/>
      <c r="C201" s="242" t="s">
        <v>656</v>
      </c>
      <c r="D201" s="172"/>
      <c r="E201" s="172"/>
      <c r="F201" s="172"/>
      <c r="G201" s="172"/>
      <c r="H201" s="172"/>
      <c r="I201" s="172"/>
      <c r="J201" s="172"/>
      <c r="K201" s="172"/>
      <c r="L201" s="172"/>
      <c r="M201" s="172"/>
      <c r="N201" s="172"/>
      <c r="O201" s="172"/>
      <c r="P201" s="172"/>
      <c r="Q201" s="172"/>
      <c r="R201" s="172"/>
      <c r="S201" s="172"/>
      <c r="T201" s="239"/>
    </row>
    <row r="202" spans="2:20" ht="13.5" thickBot="1" x14ac:dyDescent="0.25">
      <c r="B202" s="243"/>
      <c r="C202" s="244"/>
      <c r="D202" s="244"/>
      <c r="E202" s="244"/>
      <c r="F202" s="244"/>
      <c r="G202" s="244"/>
      <c r="H202" s="244"/>
      <c r="I202" s="244"/>
      <c r="J202" s="244"/>
      <c r="K202" s="244"/>
      <c r="L202" s="244"/>
      <c r="M202" s="244"/>
      <c r="N202" s="244"/>
      <c r="O202" s="244"/>
      <c r="P202" s="244"/>
      <c r="Q202" s="244"/>
      <c r="R202" s="244"/>
      <c r="S202" s="244"/>
      <c r="T202" s="245"/>
    </row>
  </sheetData>
  <sheetProtection algorithmName="SHA-512" hashValue="vERfsyi5peJ/dZnhj+TofYK7RHS8vSgS6UTlN0AB8bb8ZdyFryEDcK/PDkws/snfde70+Sd2hA+wyA9imslTlw==" saltValue="pC6TEAyvDhU4JkK9/hDTVQ=="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
  <sheetViews>
    <sheetView showGridLines="0" showRowColHeaders="0" workbookViewId="0">
      <selection activeCell="O37" sqref="O37"/>
    </sheetView>
  </sheetViews>
  <sheetFormatPr defaultRowHeight="12.75" x14ac:dyDescent="0.2"/>
  <cols>
    <col min="1" max="16384" width="9.140625" style="42"/>
  </cols>
  <sheetData/>
  <sheetProtection algorithmName="SHA-512" hashValue="mdDhjTrqRt/eKezKvyd6Wpxe+sPQXtqworyD+Wv0e6Z+28HJBl24PITyriFog/zQy78z5HMHJHNjAZ5ZkYmWZw==" saltValue="WTZ73IeAV52gFQTTaisfzA=="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B28E-F9C0-4B47-84E5-863DEA3130A5}">
  <dimension ref="A1:CM287"/>
  <sheetViews>
    <sheetView topLeftCell="A163" workbookViewId="0">
      <selection activeCell="H183" sqref="H183"/>
    </sheetView>
  </sheetViews>
  <sheetFormatPr defaultRowHeight="12.75" x14ac:dyDescent="0.2"/>
  <cols>
    <col min="1" max="5" width="7.140625" style="133" customWidth="1"/>
    <col min="6" max="6" width="11.28515625" style="133" customWidth="1"/>
    <col min="7" max="7" width="37.5703125" style="134" customWidth="1"/>
    <col min="8" max="8" width="45.140625" customWidth="1"/>
    <col min="9" max="9" width="7.42578125" customWidth="1"/>
    <col min="10" max="10" width="11.28515625" customWidth="1"/>
    <col min="15" max="15" width="10" customWidth="1"/>
    <col min="92" max="16384" width="9.140625" style="134"/>
  </cols>
  <sheetData>
    <row r="1" spans="1:43" x14ac:dyDescent="0.2">
      <c r="A1" s="132" t="s">
        <v>482</v>
      </c>
      <c r="B1" s="133" t="s">
        <v>1</v>
      </c>
      <c r="C1" s="133" t="s">
        <v>2</v>
      </c>
      <c r="D1" s="133" t="s">
        <v>355</v>
      </c>
      <c r="E1" s="133" t="s">
        <v>354</v>
      </c>
      <c r="F1" s="132" t="s">
        <v>587</v>
      </c>
      <c r="G1" s="134" t="s">
        <v>356</v>
      </c>
      <c r="I1" s="221"/>
      <c r="J1" s="222"/>
      <c r="K1" s="222"/>
      <c r="L1" s="223"/>
      <c r="M1" s="224"/>
      <c r="N1" s="169" t="s">
        <v>591</v>
      </c>
      <c r="O1" s="169" t="s">
        <v>592</v>
      </c>
      <c r="P1" s="221"/>
      <c r="Q1" s="222"/>
      <c r="R1" s="222"/>
      <c r="S1" s="223"/>
      <c r="T1" s="224"/>
      <c r="U1" s="177" t="s">
        <v>591</v>
      </c>
      <c r="V1" s="178" t="s">
        <v>592</v>
      </c>
      <c r="W1" s="221"/>
      <c r="X1" s="222"/>
      <c r="Y1" s="222"/>
      <c r="Z1" s="223"/>
      <c r="AA1" s="224"/>
      <c r="AB1" s="183" t="s">
        <v>591</v>
      </c>
      <c r="AC1" s="183" t="s">
        <v>592</v>
      </c>
      <c r="AD1" s="221"/>
      <c r="AE1" s="222"/>
      <c r="AF1" s="222"/>
      <c r="AG1" s="223"/>
      <c r="AH1" s="224"/>
      <c r="AI1" s="199" t="s">
        <v>591</v>
      </c>
      <c r="AJ1" s="199" t="s">
        <v>592</v>
      </c>
      <c r="AK1" s="221"/>
      <c r="AL1" s="222"/>
      <c r="AM1" s="222"/>
      <c r="AN1" s="223"/>
      <c r="AO1" s="224"/>
      <c r="AP1" s="209" t="s">
        <v>591</v>
      </c>
      <c r="AQ1" s="209" t="s">
        <v>592</v>
      </c>
    </row>
    <row r="2" spans="1:43" x14ac:dyDescent="0.2">
      <c r="A2" s="133" t="s">
        <v>36</v>
      </c>
      <c r="B2" s="133" t="s">
        <v>36</v>
      </c>
      <c r="C2" s="133" t="s">
        <v>36</v>
      </c>
      <c r="D2" s="133" t="s">
        <v>357</v>
      </c>
      <c r="E2" s="133" t="s">
        <v>357</v>
      </c>
      <c r="F2" s="135" t="str">
        <f t="shared" ref="F2:F65" si="0">_xlfn.CONCAT(A2:E2)</f>
        <v>0101010000</v>
      </c>
      <c r="G2" s="134" t="s">
        <v>358</v>
      </c>
      <c r="H2" s="11" t="str">
        <f>G2&amp;" - R"&amp;F2</f>
        <v>IMP.S/REND.PESS.SINGULARES (IRS) - R0101010000</v>
      </c>
      <c r="I2" s="169" t="str">
        <f>IF($C2="00","",IF($B2="00","",IF($A2=$K$3,ROW($A2),"")))</f>
        <v/>
      </c>
      <c r="J2" s="168" t="s">
        <v>588</v>
      </c>
      <c r="K2" s="168" t="s">
        <v>482</v>
      </c>
      <c r="L2" s="169" t="s">
        <v>589</v>
      </c>
      <c r="M2" s="169" t="s">
        <v>590</v>
      </c>
      <c r="N2" s="170">
        <f>L3</f>
        <v>0</v>
      </c>
      <c r="O2" s="170" t="str" cm="1">
        <f t="array" ref="O2">IF($K$3&gt;"00",IF(N2&lt;&gt;0,INDEX($G$2:$H$223,N2-1,2),""),"")</f>
        <v/>
      </c>
      <c r="P2" s="177" t="str">
        <f>IF($C2="00","",IF($B2="00","",IF($A2=$R$3,ROW($A2),"")))</f>
        <v/>
      </c>
      <c r="Q2" s="176" t="s">
        <v>588</v>
      </c>
      <c r="R2" s="176" t="s">
        <v>482</v>
      </c>
      <c r="S2" s="177" t="s">
        <v>589</v>
      </c>
      <c r="T2" s="177" t="s">
        <v>590</v>
      </c>
      <c r="U2" s="178">
        <f>S3</f>
        <v>0</v>
      </c>
      <c r="V2" s="178" t="str" cm="1">
        <f t="array" ref="V2">IF($R$3&gt;"00",IF(U2&lt;&gt;0,INDEX($G$2:$H$223,U2-1,2),""),"")</f>
        <v/>
      </c>
      <c r="W2" s="183" t="str">
        <f>IF($C2="00","",IF($B2="00","",IF($A2=$Y$3,ROW($A2),"")))</f>
        <v/>
      </c>
      <c r="X2" s="182" t="s">
        <v>588</v>
      </c>
      <c r="Y2" s="182" t="s">
        <v>482</v>
      </c>
      <c r="Z2" s="183" t="s">
        <v>589</v>
      </c>
      <c r="AA2" s="190" t="s">
        <v>590</v>
      </c>
      <c r="AB2" s="184">
        <f>Z3</f>
        <v>0</v>
      </c>
      <c r="AC2" s="184" t="str" cm="1">
        <f t="array" ref="AC2">IF($Y$3&gt;"00",IF(AB2&lt;&gt;0,INDEX($G$2:$H$223,AB2-1,2),""),"")</f>
        <v/>
      </c>
      <c r="AD2" s="218" t="str">
        <f>IF($C2="00","",IF($B2="00","",IF($A2=$AF$3,ROW($A2),"")))</f>
        <v/>
      </c>
      <c r="AE2" s="219" t="s">
        <v>588</v>
      </c>
      <c r="AF2" s="219" t="s">
        <v>482</v>
      </c>
      <c r="AG2" s="218" t="s">
        <v>589</v>
      </c>
      <c r="AH2" s="220" t="s">
        <v>590</v>
      </c>
      <c r="AI2" s="200">
        <f t="shared" ref="AI2" si="1">AG3</f>
        <v>0</v>
      </c>
      <c r="AJ2" s="200" t="str" cm="1">
        <f t="array" ref="AJ2">IF($AF$3&gt;"00",IF(AI2&lt;&gt;0,INDEX($G$2:$H$223,AI2-1,2),""),"")</f>
        <v/>
      </c>
      <c r="AK2" s="209" t="str">
        <f>IF($C2="00","",IF($B2="00","",IF($A2=$AM$3,ROW($A2),"")))</f>
        <v/>
      </c>
      <c r="AL2" s="208" t="s">
        <v>588</v>
      </c>
      <c r="AM2" s="208" t="s">
        <v>482</v>
      </c>
      <c r="AN2" s="209" t="s">
        <v>589</v>
      </c>
      <c r="AO2" s="210" t="s">
        <v>590</v>
      </c>
      <c r="AP2" s="211">
        <f t="shared" ref="AP2" si="2">AN3</f>
        <v>0</v>
      </c>
      <c r="AQ2" s="211" t="str" cm="1">
        <f t="array" ref="AQ2">IF($AM$3&gt;"00",IF(AP2&lt;&gt;0,INDEX($G$2:$H$223,AP2-1,2),""),"")</f>
        <v/>
      </c>
    </row>
    <row r="3" spans="1:43" x14ac:dyDescent="0.2">
      <c r="A3" s="133" t="s">
        <v>36</v>
      </c>
      <c r="B3" s="133" t="s">
        <v>36</v>
      </c>
      <c r="C3" s="133" t="s">
        <v>37</v>
      </c>
      <c r="D3" s="133" t="s">
        <v>357</v>
      </c>
      <c r="E3" s="133" t="s">
        <v>357</v>
      </c>
      <c r="F3" s="135" t="str">
        <f t="shared" si="0"/>
        <v>0101020000</v>
      </c>
      <c r="G3" s="134" t="s">
        <v>359</v>
      </c>
      <c r="H3" s="11" t="str">
        <f t="shared" ref="H3:H66" si="3">G3&amp;" - R"&amp;F3</f>
        <v>IMP.S/REND.PESS.COLETIVAS (IRC) - R0101020000</v>
      </c>
      <c r="I3" s="169" t="str">
        <f t="shared" ref="I3:I66" si="4">IF($C3="00","",IF($B3="00","",IF($A3=$K$3,ROW($A3),"")))</f>
        <v/>
      </c>
      <c r="J3" s="174" t="s">
        <v>36</v>
      </c>
      <c r="K3" s="168">
        <f>'Guia Receita'!B20</f>
        <v>0</v>
      </c>
      <c r="L3" s="169">
        <f>MIN(I2:I223)</f>
        <v>0</v>
      </c>
      <c r="M3" s="170">
        <f>MAX(I2:I223)</f>
        <v>0</v>
      </c>
      <c r="N3" s="170">
        <f t="shared" ref="N3:N46" si="5">IF(N2=0,0,IF(N2+1&lt;=$M$3,N2+1,0))</f>
        <v>0</v>
      </c>
      <c r="O3" s="170" t="str" cm="1">
        <f t="array" ref="O3">IF($K$3&gt;"00",IF(N3&lt;&gt;0,INDEX($G$2:$H$223,N3-1,2),""),"")</f>
        <v/>
      </c>
      <c r="P3" s="177" t="str">
        <f t="shared" ref="P3:P66" si="6">IF($C3="00","",IF($B3="00","",IF($A3=$R$3,ROW($A3),"")))</f>
        <v/>
      </c>
      <c r="Q3" s="179" t="s">
        <v>36</v>
      </c>
      <c r="R3" s="176">
        <f>'Guia Receita'!B22</f>
        <v>0</v>
      </c>
      <c r="S3" s="177">
        <f>MIN(P2:P223)</f>
        <v>0</v>
      </c>
      <c r="T3" s="178">
        <f>MAX(P2:P223)</f>
        <v>0</v>
      </c>
      <c r="U3" s="178">
        <f>IF(U2=0,0,IF(U2+1&lt;=$T$3,U2+1,0))</f>
        <v>0</v>
      </c>
      <c r="V3" s="178" t="str" cm="1">
        <f t="array" ref="V3">IF($R$3&gt;"00",IF(U3&lt;&gt;0,INDEX($G$2:$H$223,U3-1,2),""),"")</f>
        <v/>
      </c>
      <c r="W3" s="183" t="str">
        <f t="shared" ref="W3:W66" si="7">IF($C3="00","",IF($B3="00","",IF($A3=$Y$3,ROW($A3),"")))</f>
        <v/>
      </c>
      <c r="X3" s="185" t="s">
        <v>36</v>
      </c>
      <c r="Y3" s="189">
        <f>'Guia Receita'!B24</f>
        <v>0</v>
      </c>
      <c r="Z3" s="183">
        <f>MIN(W2:W223)</f>
        <v>0</v>
      </c>
      <c r="AA3" s="191">
        <f>MAX(W2:W223)</f>
        <v>0</v>
      </c>
      <c r="AB3" s="184">
        <f>IF(AB2=0,0,IF(AB2+1&lt;=$AA$3,AB2+1,0))</f>
        <v>0</v>
      </c>
      <c r="AC3" s="184" t="str" cm="1">
        <f t="array" ref="AC3">IF($Y$3&gt;"00",IF(AB3&lt;&gt;0,INDEX($G$2:$H$223,AB3-1,2),""),"")</f>
        <v/>
      </c>
      <c r="AD3" s="218" t="str">
        <f t="shared" ref="AD3:AD66" si="8">IF($C3="00","",IF($B3="00","",IF($A3=$AF$3,ROW($A3),"")))</f>
        <v/>
      </c>
      <c r="AE3" s="201" t="s">
        <v>36</v>
      </c>
      <c r="AF3" s="202">
        <f>'Guia Receita'!B26</f>
        <v>0</v>
      </c>
      <c r="AG3" s="199">
        <f t="shared" ref="AG3" si="9">MIN(AD2:AD223)</f>
        <v>0</v>
      </c>
      <c r="AH3" s="203">
        <f t="shared" ref="AH3" si="10">MAX(AD2:AD223)</f>
        <v>0</v>
      </c>
      <c r="AI3" s="200">
        <f>IF(AI2=0,0,IF(AI2+1&lt;=$AH$3,AI2+1,0))</f>
        <v>0</v>
      </c>
      <c r="AJ3" s="200" t="str" cm="1">
        <f t="array" ref="AJ3">IF($AF$3&gt;"00",IF(AI3&lt;&gt;0,INDEX($G$2:$H$223,AI3-1,2),""),"")</f>
        <v/>
      </c>
      <c r="AK3" s="209" t="str">
        <f t="shared" ref="AK3:AK66" si="11">IF($C3="00","",IF($B3="00","",IF($A3=$AM$3,ROW($A3),"")))</f>
        <v/>
      </c>
      <c r="AL3" s="212" t="s">
        <v>36</v>
      </c>
      <c r="AM3" s="213">
        <f>'Guia Receita'!B28</f>
        <v>0</v>
      </c>
      <c r="AN3" s="209">
        <f t="shared" ref="AN3" si="12">MIN(AK2:AK223)</f>
        <v>0</v>
      </c>
      <c r="AO3" s="214">
        <f t="shared" ref="AO3" si="13">MAX(AK2:AK223)</f>
        <v>0</v>
      </c>
      <c r="AP3" s="211">
        <f>IF(AP2=0,0,IF(AP2+1&lt;=$AO$3,AP2+1,0))</f>
        <v>0</v>
      </c>
      <c r="AQ3" s="211" t="str" cm="1">
        <f t="array" ref="AQ3">IF($AM$3&gt;"00",IF(AP3&lt;&gt;0,INDEX($G$2:$H$223,AP3-1,2),""),"")</f>
        <v/>
      </c>
    </row>
    <row r="4" spans="1:43" x14ac:dyDescent="0.2">
      <c r="A4" s="133" t="s">
        <v>36</v>
      </c>
      <c r="B4" s="133" t="s">
        <v>37</v>
      </c>
      <c r="C4" s="133" t="s">
        <v>36</v>
      </c>
      <c r="D4" s="133" t="s">
        <v>357</v>
      </c>
      <c r="E4" s="133" t="s">
        <v>357</v>
      </c>
      <c r="F4" s="135" t="str">
        <f t="shared" si="0"/>
        <v>0102010000</v>
      </c>
      <c r="G4" s="134" t="s">
        <v>361</v>
      </c>
      <c r="H4" s="11" t="str">
        <f t="shared" si="3"/>
        <v>IMPOSTO S/SUCESSÕES E DOAÇÕES - R0102010000</v>
      </c>
      <c r="I4" s="169" t="str">
        <f t="shared" si="4"/>
        <v/>
      </c>
      <c r="J4" s="174" t="s">
        <v>37</v>
      </c>
      <c r="K4" s="169"/>
      <c r="L4" s="170"/>
      <c r="M4" s="170"/>
      <c r="N4" s="170">
        <f t="shared" si="5"/>
        <v>0</v>
      </c>
      <c r="O4" s="170" t="str" cm="1">
        <f t="array" ref="O4">IF($K$3&gt;"00",IF(N4&lt;&gt;0,INDEX($G$2:$H$223,N4-1,2),""),"")</f>
        <v/>
      </c>
      <c r="P4" s="177" t="str">
        <f t="shared" si="6"/>
        <v/>
      </c>
      <c r="Q4" s="179" t="s">
        <v>37</v>
      </c>
      <c r="R4" s="192"/>
      <c r="S4" s="180"/>
      <c r="T4" s="193"/>
      <c r="U4" s="178">
        <f t="shared" ref="U4:U46" si="14">IF(U3=0,0,IF(U3+1&lt;=$T$3,U3+1,0))</f>
        <v>0</v>
      </c>
      <c r="V4" s="178" t="str" cm="1">
        <f t="array" ref="V4">IF($R$3&gt;"00",IF(U4&lt;&gt;0,INDEX($G$2:$H$223,U4-1,2),""),"")</f>
        <v/>
      </c>
      <c r="W4" s="183" t="str">
        <f t="shared" si="7"/>
        <v/>
      </c>
      <c r="X4" s="185" t="s">
        <v>37</v>
      </c>
      <c r="Y4" s="181"/>
      <c r="Z4" s="186"/>
      <c r="AA4" s="186"/>
      <c r="AB4" s="184">
        <f t="shared" ref="AB4:AB46" si="15">IF(AB3=0,0,IF(AB3+1&lt;=$AA$3,AB3+1,0))</f>
        <v>0</v>
      </c>
      <c r="AC4" s="184" t="str" cm="1">
        <f t="array" ref="AC4">IF($Y$3&gt;"00",IF(AB4&lt;&gt;0,INDEX($G$2:$H$223,AB4-1,2),""),"")</f>
        <v/>
      </c>
      <c r="AD4" s="218" t="str">
        <f t="shared" si="8"/>
        <v/>
      </c>
      <c r="AE4" s="201" t="s">
        <v>37</v>
      </c>
      <c r="AF4" s="198"/>
      <c r="AG4" s="204"/>
      <c r="AH4" s="204"/>
      <c r="AI4" s="200">
        <f t="shared" ref="AI4:AI46" si="16">IF(AI3=0,0,IF(AI3+1&lt;=$AH$3,AI3+1,0))</f>
        <v>0</v>
      </c>
      <c r="AJ4" s="200" t="str" cm="1">
        <f t="array" ref="AJ4">IF($AF$3&gt;"00",IF(AI4&lt;&gt;0,INDEX($G$2:$H$223,AI4-1,2),""),"")</f>
        <v/>
      </c>
      <c r="AK4" s="209" t="str">
        <f t="shared" si="11"/>
        <v/>
      </c>
      <c r="AL4" s="212" t="s">
        <v>37</v>
      </c>
      <c r="AM4" s="207"/>
      <c r="AN4" s="215"/>
      <c r="AO4" s="215"/>
      <c r="AP4" s="211">
        <f t="shared" ref="AP4:AP46" si="17">IF(AP3=0,0,IF(AP3+1&lt;=$AO$3,AP3+1,0))</f>
        <v>0</v>
      </c>
      <c r="AQ4" s="211" t="str" cm="1">
        <f t="array" ref="AQ4">IF($AM$3&gt;"00",IF(AP4&lt;&gt;0,INDEX($G$2:$H$223,AP4-1,2),""),"")</f>
        <v/>
      </c>
    </row>
    <row r="5" spans="1:43" x14ac:dyDescent="0.2">
      <c r="A5" s="133" t="s">
        <v>36</v>
      </c>
      <c r="B5" s="133" t="s">
        <v>37</v>
      </c>
      <c r="C5" s="133" t="s">
        <v>41</v>
      </c>
      <c r="D5" s="133" t="s">
        <v>357</v>
      </c>
      <c r="E5" s="133" t="s">
        <v>357</v>
      </c>
      <c r="F5" s="135" t="str">
        <f t="shared" si="0"/>
        <v>0102060000</v>
      </c>
      <c r="G5" s="134" t="s">
        <v>363</v>
      </c>
      <c r="H5" s="11" t="str">
        <f t="shared" si="3"/>
        <v>IMPOSTO USO, PORTE E DETENÇÃO ARMAS - R0102060000</v>
      </c>
      <c r="I5" s="169" t="str">
        <f t="shared" si="4"/>
        <v/>
      </c>
      <c r="J5" s="174" t="s">
        <v>38</v>
      </c>
      <c r="K5" s="169"/>
      <c r="L5" s="170"/>
      <c r="M5" s="170"/>
      <c r="N5" s="170">
        <f t="shared" si="5"/>
        <v>0</v>
      </c>
      <c r="O5" s="170" t="str" cm="1">
        <f t="array" ref="O5">IF($K$3&gt;"00",IF(N5&lt;&gt;0,INDEX($G$2:$H$223,N5-1,2),""),"")</f>
        <v/>
      </c>
      <c r="P5" s="177" t="str">
        <f t="shared" si="6"/>
        <v/>
      </c>
      <c r="Q5" s="179" t="s">
        <v>38</v>
      </c>
      <c r="R5" s="192"/>
      <c r="S5" s="180"/>
      <c r="T5" s="193"/>
      <c r="U5" s="178">
        <f t="shared" si="14"/>
        <v>0</v>
      </c>
      <c r="V5" s="178" t="str" cm="1">
        <f t="array" ref="V5">IF($R$3&gt;"00",IF(U5&lt;&gt;0,INDEX($G$2:$H$223,U5-1,2),""),"")</f>
        <v/>
      </c>
      <c r="W5" s="183" t="str">
        <f t="shared" si="7"/>
        <v/>
      </c>
      <c r="X5" s="185" t="s">
        <v>38</v>
      </c>
      <c r="Y5" s="181"/>
      <c r="Z5" s="186"/>
      <c r="AA5" s="186"/>
      <c r="AB5" s="184">
        <f t="shared" si="15"/>
        <v>0</v>
      </c>
      <c r="AC5" s="184" t="str" cm="1">
        <f t="array" ref="AC5">IF($Y$3&gt;"00",IF(AB5&lt;&gt;0,INDEX($G$2:$H$223,AB5-1,2),""),"")</f>
        <v/>
      </c>
      <c r="AD5" s="218" t="str">
        <f t="shared" si="8"/>
        <v/>
      </c>
      <c r="AE5" s="201" t="s">
        <v>38</v>
      </c>
      <c r="AF5" s="198"/>
      <c r="AG5" s="204"/>
      <c r="AH5" s="204"/>
      <c r="AI5" s="200">
        <f t="shared" si="16"/>
        <v>0</v>
      </c>
      <c r="AJ5" s="200" t="str" cm="1">
        <f t="array" ref="AJ5">IF($AF$3&gt;"00",IF(AI5&lt;&gt;0,INDEX($G$2:$H$223,AI5-1,2),""),"")</f>
        <v/>
      </c>
      <c r="AK5" s="209" t="str">
        <f t="shared" si="11"/>
        <v/>
      </c>
      <c r="AL5" s="212" t="s">
        <v>38</v>
      </c>
      <c r="AM5" s="207"/>
      <c r="AN5" s="215"/>
      <c r="AO5" s="215"/>
      <c r="AP5" s="211">
        <f t="shared" si="17"/>
        <v>0</v>
      </c>
      <c r="AQ5" s="211" t="str" cm="1">
        <f t="array" ref="AQ5">IF($AM$3&gt;"00",IF(AP5&lt;&gt;0,INDEX($G$2:$H$223,AP5-1,2),""),"")</f>
        <v/>
      </c>
    </row>
    <row r="6" spans="1:43" x14ac:dyDescent="0.2">
      <c r="A6" s="133" t="s">
        <v>36</v>
      </c>
      <c r="B6" s="133" t="s">
        <v>37</v>
      </c>
      <c r="C6" s="133" t="s">
        <v>42</v>
      </c>
      <c r="D6" s="133" t="s">
        <v>357</v>
      </c>
      <c r="E6" s="133" t="s">
        <v>357</v>
      </c>
      <c r="F6" s="135" t="str">
        <f t="shared" si="0"/>
        <v>0102070000</v>
      </c>
      <c r="G6" s="134" t="s">
        <v>362</v>
      </c>
      <c r="H6" s="11" t="str">
        <f t="shared" si="3"/>
        <v>IMPOSTOS ABOLIDOS - R0102070000</v>
      </c>
      <c r="I6" s="169" t="str">
        <f t="shared" si="4"/>
        <v/>
      </c>
      <c r="J6" s="174" t="s">
        <v>39</v>
      </c>
      <c r="K6" s="169"/>
      <c r="L6" s="170"/>
      <c r="M6" s="170"/>
      <c r="N6" s="170">
        <f t="shared" si="5"/>
        <v>0</v>
      </c>
      <c r="O6" s="170" t="str" cm="1">
        <f t="array" ref="O6">IF($K$3&gt;"00",IF(N6&lt;&gt;0,INDEX($G$2:$H$223,N6-1,2),""),"")</f>
        <v/>
      </c>
      <c r="P6" s="177" t="str">
        <f t="shared" si="6"/>
        <v/>
      </c>
      <c r="Q6" s="179" t="s">
        <v>39</v>
      </c>
      <c r="R6" s="192"/>
      <c r="S6" s="180"/>
      <c r="T6" s="193"/>
      <c r="U6" s="178">
        <f t="shared" si="14"/>
        <v>0</v>
      </c>
      <c r="V6" s="178" t="str" cm="1">
        <f t="array" ref="V6">IF($R$3&gt;"00",IF(U6&lt;&gt;0,INDEX($G$2:$H$223,U6-1,2),""),"")</f>
        <v/>
      </c>
      <c r="W6" s="183" t="str">
        <f t="shared" si="7"/>
        <v/>
      </c>
      <c r="X6" s="185" t="s">
        <v>39</v>
      </c>
      <c r="Y6" s="181"/>
      <c r="Z6" s="186"/>
      <c r="AA6" s="186"/>
      <c r="AB6" s="184">
        <f t="shared" si="15"/>
        <v>0</v>
      </c>
      <c r="AC6" s="184" t="str" cm="1">
        <f t="array" ref="AC6">IF($Y$3&gt;"00",IF(AB6&lt;&gt;0,INDEX($G$2:$H$223,AB6-1,2),""),"")</f>
        <v/>
      </c>
      <c r="AD6" s="218" t="str">
        <f t="shared" si="8"/>
        <v/>
      </c>
      <c r="AE6" s="201" t="s">
        <v>39</v>
      </c>
      <c r="AF6" s="198"/>
      <c r="AG6" s="204"/>
      <c r="AH6" s="204"/>
      <c r="AI6" s="200">
        <f t="shared" si="16"/>
        <v>0</v>
      </c>
      <c r="AJ6" s="200" t="str" cm="1">
        <f t="array" ref="AJ6">IF($AF$3&gt;"00",IF(AI6&lt;&gt;0,INDEX($G$2:$H$223,AI6-1,2),""),"")</f>
        <v/>
      </c>
      <c r="AK6" s="209" t="str">
        <f t="shared" si="11"/>
        <v/>
      </c>
      <c r="AL6" s="212" t="s">
        <v>39</v>
      </c>
      <c r="AM6" s="207"/>
      <c r="AN6" s="215"/>
      <c r="AO6" s="215"/>
      <c r="AP6" s="211">
        <f t="shared" si="17"/>
        <v>0</v>
      </c>
      <c r="AQ6" s="211" t="str" cm="1">
        <f t="array" ref="AQ6">IF($AM$3&gt;"00",IF(AP6&lt;&gt;0,INDEX($G$2:$H$223,AP6-1,2),""),"")</f>
        <v/>
      </c>
    </row>
    <row r="7" spans="1:43" x14ac:dyDescent="0.2">
      <c r="A7" s="133" t="s">
        <v>36</v>
      </c>
      <c r="B7" s="133" t="s">
        <v>37</v>
      </c>
      <c r="C7" s="133" t="s">
        <v>329</v>
      </c>
      <c r="D7" s="133" t="s">
        <v>357</v>
      </c>
      <c r="E7" s="133" t="s">
        <v>357</v>
      </c>
      <c r="F7" s="135" t="str">
        <f t="shared" si="0"/>
        <v>0102990000</v>
      </c>
      <c r="G7" s="134" t="s">
        <v>360</v>
      </c>
      <c r="H7" s="11" t="str">
        <f t="shared" si="3"/>
        <v>IMPOSTOS DIRETOS DIVERSOS - R0102990000</v>
      </c>
      <c r="I7" s="169" t="str">
        <f t="shared" si="4"/>
        <v/>
      </c>
      <c r="J7" s="174" t="s">
        <v>40</v>
      </c>
      <c r="K7" s="169"/>
      <c r="L7" s="170"/>
      <c r="M7" s="170"/>
      <c r="N7" s="170">
        <f t="shared" si="5"/>
        <v>0</v>
      </c>
      <c r="O7" s="170" t="str" cm="1">
        <f t="array" ref="O7">IF($K$3&gt;"00",IF(N7&lt;&gt;0,INDEX($G$2:$H$223,N7-1,2),""),"")</f>
        <v/>
      </c>
      <c r="P7" s="177" t="str">
        <f t="shared" si="6"/>
        <v/>
      </c>
      <c r="Q7" s="179" t="s">
        <v>40</v>
      </c>
      <c r="R7" s="192"/>
      <c r="S7" s="180"/>
      <c r="T7" s="193"/>
      <c r="U7" s="178">
        <f t="shared" si="14"/>
        <v>0</v>
      </c>
      <c r="V7" s="178" t="str" cm="1">
        <f t="array" ref="V7">IF($R$3&gt;"00",IF(U7&lt;&gt;0,INDEX($G$2:$H$223,U7-1,2),""),"")</f>
        <v/>
      </c>
      <c r="W7" s="183" t="str">
        <f t="shared" si="7"/>
        <v/>
      </c>
      <c r="X7" s="185" t="s">
        <v>40</v>
      </c>
      <c r="Y7" s="181"/>
      <c r="Z7" s="186"/>
      <c r="AA7" s="186"/>
      <c r="AB7" s="184">
        <f t="shared" si="15"/>
        <v>0</v>
      </c>
      <c r="AC7" s="184" t="str" cm="1">
        <f t="array" ref="AC7">IF($Y$3&gt;"00",IF(AB7&lt;&gt;0,INDEX($G$2:$H$223,AB7-1,2),""),"")</f>
        <v/>
      </c>
      <c r="AD7" s="218" t="str">
        <f t="shared" si="8"/>
        <v/>
      </c>
      <c r="AE7" s="201" t="s">
        <v>40</v>
      </c>
      <c r="AF7" s="198"/>
      <c r="AG7" s="204"/>
      <c r="AH7" s="204"/>
      <c r="AI7" s="200">
        <f t="shared" si="16"/>
        <v>0</v>
      </c>
      <c r="AJ7" s="200" t="str" cm="1">
        <f t="array" ref="AJ7">IF($AF$3&gt;"00",IF(AI7&lt;&gt;0,INDEX($G$2:$H$223,AI7-1,2),""),"")</f>
        <v/>
      </c>
      <c r="AK7" s="209" t="str">
        <f t="shared" si="11"/>
        <v/>
      </c>
      <c r="AL7" s="212" t="s">
        <v>40</v>
      </c>
      <c r="AM7" s="207"/>
      <c r="AN7" s="215"/>
      <c r="AO7" s="215"/>
      <c r="AP7" s="211">
        <f t="shared" si="17"/>
        <v>0</v>
      </c>
      <c r="AQ7" s="211" t="str" cm="1">
        <f t="array" ref="AQ7">IF($AM$3&gt;"00",IF(AP7&lt;&gt;0,INDEX($G$2:$H$223,AP7-1,2),""),"")</f>
        <v/>
      </c>
    </row>
    <row r="8" spans="1:43" x14ac:dyDescent="0.2">
      <c r="A8" s="133" t="s">
        <v>37</v>
      </c>
      <c r="B8" s="133" t="s">
        <v>36</v>
      </c>
      <c r="C8" s="133" t="s">
        <v>36</v>
      </c>
      <c r="D8" s="133" t="s">
        <v>357</v>
      </c>
      <c r="E8" s="133" t="s">
        <v>357</v>
      </c>
      <c r="F8" s="135" t="str">
        <f t="shared" si="0"/>
        <v>0201010000</v>
      </c>
      <c r="G8" s="134" t="s">
        <v>369</v>
      </c>
      <c r="H8" s="11" t="str">
        <f t="shared" si="3"/>
        <v>IMPOSTO S/ PRODUTOS PETROLÍFEROS (ISP) - R0201010000</v>
      </c>
      <c r="I8" s="169" t="str">
        <f t="shared" si="4"/>
        <v/>
      </c>
      <c r="J8" s="174" t="s">
        <v>41</v>
      </c>
      <c r="K8" s="169"/>
      <c r="L8" s="170"/>
      <c r="M8" s="170"/>
      <c r="N8" s="170">
        <f t="shared" si="5"/>
        <v>0</v>
      </c>
      <c r="O8" s="170" t="str" cm="1">
        <f t="array" ref="O8">IF($K$3&gt;"00",IF(N8&lt;&gt;0,INDEX($G$2:$H$223,N8-1,2),""),"")</f>
        <v/>
      </c>
      <c r="P8" s="177" t="str">
        <f t="shared" si="6"/>
        <v/>
      </c>
      <c r="Q8" s="179" t="s">
        <v>41</v>
      </c>
      <c r="R8" s="192"/>
      <c r="S8" s="180"/>
      <c r="T8" s="193"/>
      <c r="U8" s="178">
        <f t="shared" si="14"/>
        <v>0</v>
      </c>
      <c r="V8" s="178" t="str" cm="1">
        <f t="array" ref="V8">IF($R$3&gt;"00",IF(U8&lt;&gt;0,INDEX($G$2:$H$223,U8-1,2),""),"")</f>
        <v/>
      </c>
      <c r="W8" s="183" t="str">
        <f t="shared" si="7"/>
        <v/>
      </c>
      <c r="X8" s="185" t="s">
        <v>41</v>
      </c>
      <c r="Y8" s="181"/>
      <c r="Z8" s="186"/>
      <c r="AA8" s="186"/>
      <c r="AB8" s="184">
        <f t="shared" si="15"/>
        <v>0</v>
      </c>
      <c r="AC8" s="184" t="str" cm="1">
        <f t="array" ref="AC8">IF($Y$3&gt;"00",IF(AB8&lt;&gt;0,INDEX($G$2:$H$223,AB8-1,2),""),"")</f>
        <v/>
      </c>
      <c r="AD8" s="218" t="str">
        <f t="shared" si="8"/>
        <v/>
      </c>
      <c r="AE8" s="201" t="s">
        <v>41</v>
      </c>
      <c r="AF8" s="198"/>
      <c r="AG8" s="204"/>
      <c r="AH8" s="204"/>
      <c r="AI8" s="200">
        <f t="shared" si="16"/>
        <v>0</v>
      </c>
      <c r="AJ8" s="200" t="str" cm="1">
        <f t="array" ref="AJ8">IF($AF$3&gt;"00",IF(AI8&lt;&gt;0,INDEX($G$2:$H$223,AI8-1,2),""),"")</f>
        <v/>
      </c>
      <c r="AK8" s="209" t="str">
        <f t="shared" si="11"/>
        <v/>
      </c>
      <c r="AL8" s="212" t="s">
        <v>41</v>
      </c>
      <c r="AM8" s="207"/>
      <c r="AN8" s="215"/>
      <c r="AO8" s="215"/>
      <c r="AP8" s="211">
        <f t="shared" si="17"/>
        <v>0</v>
      </c>
      <c r="AQ8" s="211" t="str" cm="1">
        <f t="array" ref="AQ8">IF($AM$3&gt;"00",IF(AP8&lt;&gt;0,INDEX($G$2:$H$223,AP8-1,2),""),"")</f>
        <v/>
      </c>
    </row>
    <row r="9" spans="1:43" x14ac:dyDescent="0.2">
      <c r="A9" s="133" t="s">
        <v>37</v>
      </c>
      <c r="B9" s="133" t="s">
        <v>36</v>
      </c>
      <c r="C9" s="133" t="s">
        <v>36</v>
      </c>
      <c r="D9" s="133" t="s">
        <v>357</v>
      </c>
      <c r="E9" s="133" t="s">
        <v>357</v>
      </c>
      <c r="F9" s="135" t="str">
        <f t="shared" si="0"/>
        <v>0201010000</v>
      </c>
      <c r="G9" s="134" t="s">
        <v>369</v>
      </c>
      <c r="H9" s="11" t="str">
        <f t="shared" si="3"/>
        <v>IMPOSTO S/ PRODUTOS PETROLÍFEROS (ISP) - R0201010000</v>
      </c>
      <c r="I9" s="169" t="str">
        <f t="shared" si="4"/>
        <v/>
      </c>
      <c r="J9" s="174" t="s">
        <v>42</v>
      </c>
      <c r="K9" s="169"/>
      <c r="L9" s="170"/>
      <c r="M9" s="170"/>
      <c r="N9" s="170">
        <f t="shared" si="5"/>
        <v>0</v>
      </c>
      <c r="O9" s="170" t="str" cm="1">
        <f t="array" ref="O9">IF($K$3&gt;"00",IF(N9&lt;&gt;0,INDEX($G$2:$H$223,N9-1,2),""),"")</f>
        <v/>
      </c>
      <c r="P9" s="177" t="str">
        <f t="shared" si="6"/>
        <v/>
      </c>
      <c r="Q9" s="179" t="s">
        <v>42</v>
      </c>
      <c r="R9" s="192"/>
      <c r="S9" s="180"/>
      <c r="T9" s="193"/>
      <c r="U9" s="178">
        <f t="shared" si="14"/>
        <v>0</v>
      </c>
      <c r="V9" s="178" t="str" cm="1">
        <f t="array" ref="V9">IF($R$3&gt;"00",IF(U9&lt;&gt;0,INDEX($G$2:$H$223,U9-1,2),""),"")</f>
        <v/>
      </c>
      <c r="W9" s="183" t="str">
        <f t="shared" si="7"/>
        <v/>
      </c>
      <c r="X9" s="185" t="s">
        <v>42</v>
      </c>
      <c r="Y9" s="181"/>
      <c r="Z9" s="186"/>
      <c r="AA9" s="186"/>
      <c r="AB9" s="184">
        <f t="shared" si="15"/>
        <v>0</v>
      </c>
      <c r="AC9" s="184" t="str" cm="1">
        <f t="array" ref="AC9">IF($Y$3&gt;"00",IF(AB9&lt;&gt;0,INDEX($G$2:$H$223,AB9-1,2),""),"")</f>
        <v/>
      </c>
      <c r="AD9" s="218" t="str">
        <f t="shared" si="8"/>
        <v/>
      </c>
      <c r="AE9" s="201" t="s">
        <v>42</v>
      </c>
      <c r="AF9" s="198"/>
      <c r="AG9" s="204"/>
      <c r="AH9" s="204"/>
      <c r="AI9" s="200">
        <f t="shared" si="16"/>
        <v>0</v>
      </c>
      <c r="AJ9" s="200" t="str" cm="1">
        <f t="array" ref="AJ9">IF($AF$3&gt;"00",IF(AI9&lt;&gt;0,INDEX($G$2:$H$223,AI9-1,2),""),"")</f>
        <v/>
      </c>
      <c r="AK9" s="209" t="str">
        <f t="shared" si="11"/>
        <v/>
      </c>
      <c r="AL9" s="212" t="s">
        <v>42</v>
      </c>
      <c r="AM9" s="207"/>
      <c r="AN9" s="215"/>
      <c r="AO9" s="215"/>
      <c r="AP9" s="211">
        <f t="shared" si="17"/>
        <v>0</v>
      </c>
      <c r="AQ9" s="211" t="str" cm="1">
        <f t="array" ref="AQ9">IF($AM$3&gt;"00",IF(AP9&lt;&gt;0,INDEX($G$2:$H$223,AP9-1,2),""),"")</f>
        <v/>
      </c>
    </row>
    <row r="10" spans="1:43" x14ac:dyDescent="0.2">
      <c r="A10" s="133" t="s">
        <v>37</v>
      </c>
      <c r="B10" s="133" t="s">
        <v>36</v>
      </c>
      <c r="C10" s="133" t="s">
        <v>37</v>
      </c>
      <c r="D10" s="133" t="s">
        <v>357</v>
      </c>
      <c r="E10" s="133" t="s">
        <v>357</v>
      </c>
      <c r="F10" s="135" t="str">
        <f t="shared" si="0"/>
        <v>0201020000</v>
      </c>
      <c r="G10" s="134" t="s">
        <v>370</v>
      </c>
      <c r="H10" s="11" t="str">
        <f t="shared" si="3"/>
        <v>IMPOSTO S/ VALOR ACRESCENTADO (IVA) - R0201020000</v>
      </c>
      <c r="I10" s="169" t="str">
        <f t="shared" si="4"/>
        <v/>
      </c>
      <c r="J10" s="174" t="s">
        <v>43</v>
      </c>
      <c r="K10" s="169"/>
      <c r="L10" s="170"/>
      <c r="M10" s="170"/>
      <c r="N10" s="170">
        <f t="shared" si="5"/>
        <v>0</v>
      </c>
      <c r="O10" s="170" t="str" cm="1">
        <f t="array" ref="O10">IF($K$3&gt;"00",IF(N10&lt;&gt;0,INDEX($G$2:$H$223,N10-1,2),""),"")</f>
        <v/>
      </c>
      <c r="P10" s="177" t="str">
        <f t="shared" si="6"/>
        <v/>
      </c>
      <c r="Q10" s="179" t="s">
        <v>43</v>
      </c>
      <c r="R10" s="192"/>
      <c r="S10" s="180"/>
      <c r="T10" s="193"/>
      <c r="U10" s="178">
        <f t="shared" si="14"/>
        <v>0</v>
      </c>
      <c r="V10" s="178" t="str" cm="1">
        <f t="array" ref="V10">IF($R$3&gt;"00",IF(U10&lt;&gt;0,INDEX($G$2:$H$223,U10-1,2),""),"")</f>
        <v/>
      </c>
      <c r="W10" s="183" t="str">
        <f t="shared" si="7"/>
        <v/>
      </c>
      <c r="X10" s="185" t="s">
        <v>43</v>
      </c>
      <c r="Y10" s="181"/>
      <c r="Z10" s="186"/>
      <c r="AA10" s="186"/>
      <c r="AB10" s="184">
        <f t="shared" si="15"/>
        <v>0</v>
      </c>
      <c r="AC10" s="184" t="str" cm="1">
        <f t="array" ref="AC10">IF($Y$3&gt;"00",IF(AB10&lt;&gt;0,INDEX($G$2:$H$223,AB10-1,2),""),"")</f>
        <v/>
      </c>
      <c r="AD10" s="218" t="str">
        <f t="shared" si="8"/>
        <v/>
      </c>
      <c r="AE10" s="201" t="s">
        <v>43</v>
      </c>
      <c r="AF10" s="198"/>
      <c r="AG10" s="204"/>
      <c r="AH10" s="204"/>
      <c r="AI10" s="200">
        <f t="shared" si="16"/>
        <v>0</v>
      </c>
      <c r="AJ10" s="200" t="str" cm="1">
        <f t="array" ref="AJ10">IF($AF$3&gt;"00",IF(AI10&lt;&gt;0,INDEX($G$2:$H$223,AI10-1,2),""),"")</f>
        <v/>
      </c>
      <c r="AK10" s="209" t="str">
        <f t="shared" si="11"/>
        <v/>
      </c>
      <c r="AL10" s="212" t="s">
        <v>43</v>
      </c>
      <c r="AM10" s="207"/>
      <c r="AN10" s="215"/>
      <c r="AO10" s="215"/>
      <c r="AP10" s="211">
        <f t="shared" si="17"/>
        <v>0</v>
      </c>
      <c r="AQ10" s="211" t="str" cm="1">
        <f t="array" ref="AQ10">IF($AM$3&gt;"00",IF(AP10&lt;&gt;0,INDEX($G$2:$H$223,AP10-1,2),""),"")</f>
        <v/>
      </c>
    </row>
    <row r="11" spans="1:43" x14ac:dyDescent="0.2">
      <c r="A11" s="133" t="s">
        <v>37</v>
      </c>
      <c r="B11" s="133" t="s">
        <v>36</v>
      </c>
      <c r="C11" s="133" t="s">
        <v>38</v>
      </c>
      <c r="D11" s="133" t="s">
        <v>357</v>
      </c>
      <c r="E11" s="133" t="s">
        <v>357</v>
      </c>
      <c r="F11" s="135" t="str">
        <f t="shared" si="0"/>
        <v>0201030000</v>
      </c>
      <c r="G11" s="134" t="s">
        <v>364</v>
      </c>
      <c r="H11" s="11" t="str">
        <f t="shared" si="3"/>
        <v>IMPOSTO AUTOMÓVEL (IA) - R0201030000</v>
      </c>
      <c r="I11" s="169" t="str">
        <f t="shared" si="4"/>
        <v/>
      </c>
      <c r="J11" s="174" t="s">
        <v>44</v>
      </c>
      <c r="K11" s="169"/>
      <c r="L11" s="170"/>
      <c r="M11" s="170"/>
      <c r="N11" s="170">
        <f t="shared" si="5"/>
        <v>0</v>
      </c>
      <c r="O11" s="170" t="str" cm="1">
        <f t="array" ref="O11">IF($K$3&gt;"00",IF(N11&lt;&gt;0,INDEX($G$2:$H$223,N11-1,2),""),"")</f>
        <v/>
      </c>
      <c r="P11" s="177" t="str">
        <f t="shared" si="6"/>
        <v/>
      </c>
      <c r="Q11" s="179" t="s">
        <v>44</v>
      </c>
      <c r="R11" s="192"/>
      <c r="S11" s="180"/>
      <c r="T11" s="193"/>
      <c r="U11" s="178">
        <f t="shared" si="14"/>
        <v>0</v>
      </c>
      <c r="V11" s="178" t="str" cm="1">
        <f t="array" ref="V11">IF($R$3&gt;"00",IF(U11&lt;&gt;0,INDEX($G$2:$H$223,U11-1,2),""),"")</f>
        <v/>
      </c>
      <c r="W11" s="183" t="str">
        <f t="shared" si="7"/>
        <v/>
      </c>
      <c r="X11" s="185" t="s">
        <v>44</v>
      </c>
      <c r="Y11" s="181"/>
      <c r="Z11" s="186"/>
      <c r="AA11" s="186"/>
      <c r="AB11" s="184">
        <f t="shared" si="15"/>
        <v>0</v>
      </c>
      <c r="AC11" s="184" t="str" cm="1">
        <f t="array" ref="AC11">IF($Y$3&gt;"00",IF(AB11&lt;&gt;0,INDEX($G$2:$H$223,AB11-1,2),""),"")</f>
        <v/>
      </c>
      <c r="AD11" s="218" t="str">
        <f t="shared" si="8"/>
        <v/>
      </c>
      <c r="AE11" s="201" t="s">
        <v>44</v>
      </c>
      <c r="AF11" s="198"/>
      <c r="AG11" s="204"/>
      <c r="AH11" s="204"/>
      <c r="AI11" s="200">
        <f t="shared" si="16"/>
        <v>0</v>
      </c>
      <c r="AJ11" s="200" t="str" cm="1">
        <f t="array" ref="AJ11">IF($AF$3&gt;"00",IF(AI11&lt;&gt;0,INDEX($G$2:$H$223,AI11-1,2),""),"")</f>
        <v/>
      </c>
      <c r="AK11" s="209" t="str">
        <f t="shared" si="11"/>
        <v/>
      </c>
      <c r="AL11" s="212" t="s">
        <v>44</v>
      </c>
      <c r="AM11" s="207"/>
      <c r="AN11" s="215"/>
      <c r="AO11" s="215"/>
      <c r="AP11" s="211">
        <f t="shared" si="17"/>
        <v>0</v>
      </c>
      <c r="AQ11" s="211" t="str" cm="1">
        <f t="array" ref="AQ11">IF($AM$3&gt;"00",IF(AP11&lt;&gt;0,INDEX($G$2:$H$223,AP11-1,2),""),"")</f>
        <v/>
      </c>
    </row>
    <row r="12" spans="1:43" x14ac:dyDescent="0.2">
      <c r="A12" s="133" t="s">
        <v>37</v>
      </c>
      <c r="B12" s="133" t="s">
        <v>36</v>
      </c>
      <c r="C12" s="133" t="s">
        <v>39</v>
      </c>
      <c r="D12" s="133" t="s">
        <v>357</v>
      </c>
      <c r="E12" s="133" t="s">
        <v>357</v>
      </c>
      <c r="F12" s="135" t="str">
        <f t="shared" si="0"/>
        <v>0201040000</v>
      </c>
      <c r="G12" s="134" t="s">
        <v>371</v>
      </c>
      <c r="H12" s="11" t="str">
        <f t="shared" si="3"/>
        <v>IMPOSTO DE CONSUMO S/ TABACO - R0201040000</v>
      </c>
      <c r="I12" s="169" t="str">
        <f t="shared" si="4"/>
        <v/>
      </c>
      <c r="J12" s="174" t="s">
        <v>45</v>
      </c>
      <c r="K12" s="169"/>
      <c r="L12" s="170"/>
      <c r="M12" s="170"/>
      <c r="N12" s="170">
        <f t="shared" si="5"/>
        <v>0</v>
      </c>
      <c r="O12" s="170" t="str" cm="1">
        <f t="array" ref="O12">IF($K$3&gt;"00",IF(N12&lt;&gt;0,INDEX($G$2:$H$223,N12-1,2),""),"")</f>
        <v/>
      </c>
      <c r="P12" s="177" t="str">
        <f t="shared" si="6"/>
        <v/>
      </c>
      <c r="Q12" s="179" t="s">
        <v>45</v>
      </c>
      <c r="R12" s="192"/>
      <c r="S12" s="180"/>
      <c r="T12" s="193"/>
      <c r="U12" s="178">
        <f t="shared" si="14"/>
        <v>0</v>
      </c>
      <c r="V12" s="178" t="str" cm="1">
        <f t="array" ref="V12">IF($R$3&gt;"00",IF(U12&lt;&gt;0,INDEX($G$2:$H$223,U12-1,2),""),"")</f>
        <v/>
      </c>
      <c r="W12" s="183" t="str">
        <f t="shared" si="7"/>
        <v/>
      </c>
      <c r="X12" s="185" t="s">
        <v>45</v>
      </c>
      <c r="Y12" s="181"/>
      <c r="Z12" s="186"/>
      <c r="AA12" s="186"/>
      <c r="AB12" s="184">
        <f t="shared" si="15"/>
        <v>0</v>
      </c>
      <c r="AC12" s="184" t="str" cm="1">
        <f t="array" ref="AC12">IF($Y$3&gt;"00",IF(AB12&lt;&gt;0,INDEX($G$2:$H$223,AB12-1,2),""),"")</f>
        <v/>
      </c>
      <c r="AD12" s="218" t="str">
        <f t="shared" si="8"/>
        <v/>
      </c>
      <c r="AE12" s="201" t="s">
        <v>45</v>
      </c>
      <c r="AF12" s="198"/>
      <c r="AG12" s="204"/>
      <c r="AH12" s="204"/>
      <c r="AI12" s="200">
        <f t="shared" si="16"/>
        <v>0</v>
      </c>
      <c r="AJ12" s="200" t="str" cm="1">
        <f t="array" ref="AJ12">IF($AF$3&gt;"00",IF(AI12&lt;&gt;0,INDEX($G$2:$H$223,AI12-1,2),""),"")</f>
        <v/>
      </c>
      <c r="AK12" s="209" t="str">
        <f t="shared" si="11"/>
        <v/>
      </c>
      <c r="AL12" s="212" t="s">
        <v>45</v>
      </c>
      <c r="AM12" s="207"/>
      <c r="AN12" s="215"/>
      <c r="AO12" s="215"/>
      <c r="AP12" s="211">
        <f t="shared" si="17"/>
        <v>0</v>
      </c>
      <c r="AQ12" s="211" t="str" cm="1">
        <f t="array" ref="AQ12">IF($AM$3&gt;"00",IF(AP12&lt;&gt;0,INDEX($G$2:$H$223,AP12-1,2),""),"")</f>
        <v/>
      </c>
    </row>
    <row r="13" spans="1:43" x14ac:dyDescent="0.2">
      <c r="A13" s="133" t="s">
        <v>37</v>
      </c>
      <c r="B13" s="133" t="s">
        <v>36</v>
      </c>
      <c r="C13" s="133" t="s">
        <v>40</v>
      </c>
      <c r="D13" s="133" t="s">
        <v>357</v>
      </c>
      <c r="E13" s="133" t="s">
        <v>357</v>
      </c>
      <c r="F13" s="135" t="str">
        <f t="shared" si="0"/>
        <v>0201050000</v>
      </c>
      <c r="G13" s="134" t="s">
        <v>366</v>
      </c>
      <c r="H13" s="11" t="str">
        <f t="shared" si="3"/>
        <v>IMPOSTO S/ ÁLCOOL BEB. ÁLCOOL. (IABA) - R0201050000</v>
      </c>
      <c r="I13" s="169" t="str">
        <f t="shared" si="4"/>
        <v/>
      </c>
      <c r="J13" s="174" t="s">
        <v>288</v>
      </c>
      <c r="K13" s="169"/>
      <c r="L13" s="170"/>
      <c r="M13" s="170"/>
      <c r="N13" s="170">
        <f t="shared" si="5"/>
        <v>0</v>
      </c>
      <c r="O13" s="170" t="str" cm="1">
        <f t="array" ref="O13">IF($K$3&gt;"00",IF(N13&lt;&gt;0,INDEX($G$2:$H$223,N13-1,2),""),"")</f>
        <v/>
      </c>
      <c r="P13" s="177" t="str">
        <f t="shared" si="6"/>
        <v/>
      </c>
      <c r="Q13" s="179" t="s">
        <v>288</v>
      </c>
      <c r="R13" s="192"/>
      <c r="S13" s="180"/>
      <c r="T13" s="193"/>
      <c r="U13" s="178">
        <f t="shared" si="14"/>
        <v>0</v>
      </c>
      <c r="V13" s="178" t="str" cm="1">
        <f t="array" ref="V13">IF($R$3&gt;"00",IF(U13&lt;&gt;0,INDEX($G$2:$H$223,U13-1,2),""),"")</f>
        <v/>
      </c>
      <c r="W13" s="183" t="str">
        <f t="shared" si="7"/>
        <v/>
      </c>
      <c r="X13" s="185" t="s">
        <v>288</v>
      </c>
      <c r="Y13" s="181"/>
      <c r="Z13" s="186"/>
      <c r="AA13" s="186"/>
      <c r="AB13" s="184">
        <f t="shared" si="15"/>
        <v>0</v>
      </c>
      <c r="AC13" s="184" t="str" cm="1">
        <f t="array" ref="AC13">IF($Y$3&gt;"00",IF(AB13&lt;&gt;0,INDEX($G$2:$H$223,AB13-1,2),""),"")</f>
        <v/>
      </c>
      <c r="AD13" s="218" t="str">
        <f t="shared" si="8"/>
        <v/>
      </c>
      <c r="AE13" s="201" t="s">
        <v>288</v>
      </c>
      <c r="AF13" s="198"/>
      <c r="AG13" s="204"/>
      <c r="AH13" s="204"/>
      <c r="AI13" s="200">
        <f t="shared" si="16"/>
        <v>0</v>
      </c>
      <c r="AJ13" s="200" t="str" cm="1">
        <f t="array" ref="AJ13">IF($AF$3&gt;"00",IF(AI13&lt;&gt;0,INDEX($G$2:$H$223,AI13-1,2),""),"")</f>
        <v/>
      </c>
      <c r="AK13" s="209" t="str">
        <f t="shared" si="11"/>
        <v/>
      </c>
      <c r="AL13" s="212" t="s">
        <v>288</v>
      </c>
      <c r="AM13" s="207"/>
      <c r="AN13" s="215"/>
      <c r="AO13" s="215"/>
      <c r="AP13" s="211">
        <f t="shared" si="17"/>
        <v>0</v>
      </c>
      <c r="AQ13" s="211" t="str" cm="1">
        <f t="array" ref="AQ13">IF($AM$3&gt;"00",IF(AP13&lt;&gt;0,INDEX($G$2:$H$223,AP13-1,2),""),"")</f>
        <v/>
      </c>
    </row>
    <row r="14" spans="1:43" x14ac:dyDescent="0.2">
      <c r="A14" s="133" t="s">
        <v>37</v>
      </c>
      <c r="B14" s="133" t="s">
        <v>36</v>
      </c>
      <c r="C14" s="133" t="s">
        <v>329</v>
      </c>
      <c r="D14" s="133" t="s">
        <v>357</v>
      </c>
      <c r="E14" s="133" t="s">
        <v>357</v>
      </c>
      <c r="F14" s="135" t="str">
        <f t="shared" si="0"/>
        <v>0201990000</v>
      </c>
      <c r="G14" s="134" t="s">
        <v>374</v>
      </c>
      <c r="H14" s="11" t="str">
        <f t="shared" si="3"/>
        <v>IMPOSTOS DIVERSOS S/ CONSUMO - R0201990000</v>
      </c>
      <c r="I14" s="169" t="str">
        <f t="shared" si="4"/>
        <v/>
      </c>
      <c r="J14" s="174" t="s">
        <v>290</v>
      </c>
      <c r="K14" s="169"/>
      <c r="L14" s="170"/>
      <c r="M14" s="170"/>
      <c r="N14" s="170">
        <f t="shared" si="5"/>
        <v>0</v>
      </c>
      <c r="O14" s="170" t="str" cm="1">
        <f t="array" ref="O14">IF($K$3&gt;"00",IF(N14&lt;&gt;0,INDEX($G$2:$H$223,N14-1,2),""),"")</f>
        <v/>
      </c>
      <c r="P14" s="177" t="str">
        <f t="shared" si="6"/>
        <v/>
      </c>
      <c r="Q14" s="179" t="s">
        <v>290</v>
      </c>
      <c r="R14" s="192"/>
      <c r="S14" s="180"/>
      <c r="T14" s="193"/>
      <c r="U14" s="178">
        <f t="shared" si="14"/>
        <v>0</v>
      </c>
      <c r="V14" s="178" t="str" cm="1">
        <f t="array" ref="V14">IF($R$3&gt;"00",IF(U14&lt;&gt;0,INDEX($G$2:$H$223,U14-1,2),""),"")</f>
        <v/>
      </c>
      <c r="W14" s="183" t="str">
        <f t="shared" si="7"/>
        <v/>
      </c>
      <c r="X14" s="185" t="s">
        <v>290</v>
      </c>
      <c r="Y14" s="181"/>
      <c r="Z14" s="186"/>
      <c r="AA14" s="186"/>
      <c r="AB14" s="184">
        <f t="shared" si="15"/>
        <v>0</v>
      </c>
      <c r="AC14" s="184" t="str" cm="1">
        <f t="array" ref="AC14">IF($Y$3&gt;"00",IF(AB14&lt;&gt;0,INDEX($G$2:$H$223,AB14-1,2),""),"")</f>
        <v/>
      </c>
      <c r="AD14" s="218" t="str">
        <f t="shared" si="8"/>
        <v/>
      </c>
      <c r="AE14" s="201" t="s">
        <v>290</v>
      </c>
      <c r="AF14" s="198"/>
      <c r="AG14" s="204"/>
      <c r="AH14" s="204"/>
      <c r="AI14" s="200">
        <f t="shared" si="16"/>
        <v>0</v>
      </c>
      <c r="AJ14" s="200" t="str" cm="1">
        <f t="array" ref="AJ14">IF($AF$3&gt;"00",IF(AI14&lt;&gt;0,INDEX($G$2:$H$223,AI14-1,2),""),"")</f>
        <v/>
      </c>
      <c r="AK14" s="209" t="str">
        <f t="shared" si="11"/>
        <v/>
      </c>
      <c r="AL14" s="212" t="s">
        <v>290</v>
      </c>
      <c r="AM14" s="207"/>
      <c r="AN14" s="215"/>
      <c r="AO14" s="215"/>
      <c r="AP14" s="211">
        <f t="shared" si="17"/>
        <v>0</v>
      </c>
      <c r="AQ14" s="211" t="str" cm="1">
        <f t="array" ref="AQ14">IF($AM$3&gt;"00",IF(AP14&lt;&gt;0,INDEX($G$2:$H$223,AP14-1,2),""),"")</f>
        <v/>
      </c>
    </row>
    <row r="15" spans="1:43" x14ac:dyDescent="0.2">
      <c r="A15" s="133" t="s">
        <v>37</v>
      </c>
      <c r="B15" s="133" t="s">
        <v>37</v>
      </c>
      <c r="C15" s="133" t="s">
        <v>36</v>
      </c>
      <c r="D15" s="133" t="s">
        <v>357</v>
      </c>
      <c r="E15" s="133" t="s">
        <v>357</v>
      </c>
      <c r="F15" s="135" t="str">
        <f t="shared" si="0"/>
        <v>0202010000</v>
      </c>
      <c r="G15" s="134" t="s">
        <v>375</v>
      </c>
      <c r="H15" s="11" t="str">
        <f t="shared" si="3"/>
        <v>LOTARIAS - R0202010000</v>
      </c>
      <c r="I15" s="169" t="str">
        <f t="shared" si="4"/>
        <v/>
      </c>
      <c r="J15" s="174" t="s">
        <v>291</v>
      </c>
      <c r="K15" s="169"/>
      <c r="L15" s="170"/>
      <c r="M15" s="170"/>
      <c r="N15" s="170">
        <f t="shared" si="5"/>
        <v>0</v>
      </c>
      <c r="O15" s="170" t="str" cm="1">
        <f t="array" ref="O15">IF($K$3&gt;"00",IF(N15&lt;&gt;0,INDEX($G$2:$H$223,N15-1,2),""),"")</f>
        <v/>
      </c>
      <c r="P15" s="177" t="str">
        <f t="shared" si="6"/>
        <v/>
      </c>
      <c r="Q15" s="179" t="s">
        <v>291</v>
      </c>
      <c r="R15" s="192"/>
      <c r="S15" s="180"/>
      <c r="T15" s="193"/>
      <c r="U15" s="178">
        <f t="shared" si="14"/>
        <v>0</v>
      </c>
      <c r="V15" s="178" t="str" cm="1">
        <f t="array" ref="V15">IF($R$3&gt;"00",IF(U15&lt;&gt;0,INDEX($G$2:$H$223,U15-1,2),""),"")</f>
        <v/>
      </c>
      <c r="W15" s="183" t="str">
        <f t="shared" si="7"/>
        <v/>
      </c>
      <c r="X15" s="185" t="s">
        <v>291</v>
      </c>
      <c r="Y15" s="181"/>
      <c r="Z15" s="186"/>
      <c r="AA15" s="186"/>
      <c r="AB15" s="184">
        <f t="shared" si="15"/>
        <v>0</v>
      </c>
      <c r="AC15" s="184" t="str" cm="1">
        <f t="array" ref="AC15">IF($Y$3&gt;"00",IF(AB15&lt;&gt;0,INDEX($G$2:$H$223,AB15-1,2),""),"")</f>
        <v/>
      </c>
      <c r="AD15" s="218" t="str">
        <f t="shared" si="8"/>
        <v/>
      </c>
      <c r="AE15" s="201" t="s">
        <v>291</v>
      </c>
      <c r="AF15" s="198"/>
      <c r="AG15" s="204"/>
      <c r="AH15" s="204"/>
      <c r="AI15" s="200">
        <f t="shared" si="16"/>
        <v>0</v>
      </c>
      <c r="AJ15" s="200" t="str" cm="1">
        <f t="array" ref="AJ15">IF($AF$3&gt;"00",IF(AI15&lt;&gt;0,INDEX($G$2:$H$223,AI15-1,2),""),"")</f>
        <v/>
      </c>
      <c r="AK15" s="209" t="str">
        <f t="shared" si="11"/>
        <v/>
      </c>
      <c r="AL15" s="212" t="s">
        <v>291</v>
      </c>
      <c r="AM15" s="207"/>
      <c r="AN15" s="215"/>
      <c r="AO15" s="215"/>
      <c r="AP15" s="211">
        <f t="shared" si="17"/>
        <v>0</v>
      </c>
      <c r="AQ15" s="211" t="str" cm="1">
        <f t="array" ref="AQ15">IF($AM$3&gt;"00",IF(AP15&lt;&gt;0,INDEX($G$2:$H$223,AP15-1,2),""),"")</f>
        <v/>
      </c>
    </row>
    <row r="16" spans="1:43" x14ac:dyDescent="0.2">
      <c r="A16" s="133" t="s">
        <v>37</v>
      </c>
      <c r="B16" s="133" t="s">
        <v>37</v>
      </c>
      <c r="C16" s="133" t="s">
        <v>37</v>
      </c>
      <c r="D16" s="133" t="s">
        <v>357</v>
      </c>
      <c r="E16" s="133" t="s">
        <v>357</v>
      </c>
      <c r="F16" s="135" t="str">
        <f t="shared" si="0"/>
        <v>0202020000</v>
      </c>
      <c r="G16" s="134" t="s">
        <v>368</v>
      </c>
      <c r="H16" s="11" t="str">
        <f t="shared" si="3"/>
        <v>IMPOSTO DE SELO - R0202020000</v>
      </c>
      <c r="I16" s="169" t="str">
        <f t="shared" si="4"/>
        <v/>
      </c>
      <c r="J16" s="174" t="s">
        <v>383</v>
      </c>
      <c r="K16" s="169"/>
      <c r="L16" s="170"/>
      <c r="M16" s="170"/>
      <c r="N16" s="170">
        <f t="shared" si="5"/>
        <v>0</v>
      </c>
      <c r="O16" s="170" t="str" cm="1">
        <f t="array" ref="O16">IF($K$3&gt;"00",IF(N16&lt;&gt;0,INDEX($G$2:$H$223,N16-1,2),""),"")</f>
        <v/>
      </c>
      <c r="P16" s="177" t="str">
        <f t="shared" si="6"/>
        <v/>
      </c>
      <c r="Q16" s="179" t="s">
        <v>383</v>
      </c>
      <c r="R16" s="192"/>
      <c r="S16" s="180"/>
      <c r="T16" s="193"/>
      <c r="U16" s="178">
        <f t="shared" si="14"/>
        <v>0</v>
      </c>
      <c r="V16" s="178" t="str" cm="1">
        <f t="array" ref="V16">IF($R$3&gt;"00",IF(U16&lt;&gt;0,INDEX($G$2:$H$223,U16-1,2),""),"")</f>
        <v/>
      </c>
      <c r="W16" s="183" t="str">
        <f t="shared" si="7"/>
        <v/>
      </c>
      <c r="X16" s="185" t="s">
        <v>383</v>
      </c>
      <c r="Y16" s="181"/>
      <c r="Z16" s="186"/>
      <c r="AA16" s="186"/>
      <c r="AB16" s="184">
        <f t="shared" si="15"/>
        <v>0</v>
      </c>
      <c r="AC16" s="184" t="str" cm="1">
        <f t="array" ref="AC16">IF($Y$3&gt;"00",IF(AB16&lt;&gt;0,INDEX($G$2:$H$223,AB16-1,2),""),"")</f>
        <v/>
      </c>
      <c r="AD16" s="218" t="str">
        <f t="shared" si="8"/>
        <v/>
      </c>
      <c r="AE16" s="201" t="s">
        <v>383</v>
      </c>
      <c r="AF16" s="198"/>
      <c r="AG16" s="204"/>
      <c r="AH16" s="204"/>
      <c r="AI16" s="200">
        <f t="shared" si="16"/>
        <v>0</v>
      </c>
      <c r="AJ16" s="200" t="str" cm="1">
        <f t="array" ref="AJ16">IF($AF$3&gt;"00",IF(AI16&lt;&gt;0,INDEX($G$2:$H$223,AI16-1,2),""),"")</f>
        <v/>
      </c>
      <c r="AK16" s="209" t="str">
        <f t="shared" si="11"/>
        <v/>
      </c>
      <c r="AL16" s="212" t="s">
        <v>383</v>
      </c>
      <c r="AM16" s="207"/>
      <c r="AN16" s="215"/>
      <c r="AO16" s="215"/>
      <c r="AP16" s="211">
        <f t="shared" si="17"/>
        <v>0</v>
      </c>
      <c r="AQ16" s="211" t="str" cm="1">
        <f t="array" ref="AQ16">IF($AM$3&gt;"00",IF(AP16&lt;&gt;0,INDEX($G$2:$H$223,AP16-1,2),""),"")</f>
        <v/>
      </c>
    </row>
    <row r="17" spans="1:43" x14ac:dyDescent="0.2">
      <c r="A17" s="133" t="s">
        <v>37</v>
      </c>
      <c r="B17" s="133" t="s">
        <v>37</v>
      </c>
      <c r="C17" s="133" t="s">
        <v>38</v>
      </c>
      <c r="D17" s="133" t="s">
        <v>357</v>
      </c>
      <c r="E17" s="133" t="s">
        <v>357</v>
      </c>
      <c r="F17" s="135" t="str">
        <f t="shared" si="0"/>
        <v>0202030000</v>
      </c>
      <c r="G17" s="134" t="s">
        <v>372</v>
      </c>
      <c r="H17" s="11" t="str">
        <f t="shared" si="3"/>
        <v>IMPOSTO DO JOGO - R0202030000</v>
      </c>
      <c r="I17" s="169" t="str">
        <f t="shared" si="4"/>
        <v/>
      </c>
      <c r="J17" s="174" t="s">
        <v>415</v>
      </c>
      <c r="K17" s="169"/>
      <c r="L17" s="170"/>
      <c r="M17" s="170"/>
      <c r="N17" s="170">
        <f t="shared" si="5"/>
        <v>0</v>
      </c>
      <c r="O17" s="170" t="str" cm="1">
        <f t="array" ref="O17">IF($K$3&gt;"00",IF(N17&lt;&gt;0,INDEX($G$2:$H$223,N17-1,2),""),"")</f>
        <v/>
      </c>
      <c r="P17" s="177" t="str">
        <f t="shared" si="6"/>
        <v/>
      </c>
      <c r="Q17" s="179" t="s">
        <v>415</v>
      </c>
      <c r="R17" s="192"/>
      <c r="S17" s="180"/>
      <c r="T17" s="193"/>
      <c r="U17" s="178">
        <f t="shared" si="14"/>
        <v>0</v>
      </c>
      <c r="V17" s="178" t="str" cm="1">
        <f t="array" ref="V17">IF($R$3&gt;"00",IF(U17&lt;&gt;0,INDEX($G$2:$H$223,U17-1,2),""),"")</f>
        <v/>
      </c>
      <c r="W17" s="183" t="str">
        <f t="shared" si="7"/>
        <v/>
      </c>
      <c r="X17" s="185" t="s">
        <v>415</v>
      </c>
      <c r="Y17" s="181"/>
      <c r="Z17" s="186"/>
      <c r="AA17" s="186"/>
      <c r="AB17" s="184">
        <f t="shared" si="15"/>
        <v>0</v>
      </c>
      <c r="AC17" s="184" t="str" cm="1">
        <f t="array" ref="AC17">IF($Y$3&gt;"00",IF(AB17&lt;&gt;0,INDEX($G$2:$H$223,AB17-1,2),""),"")</f>
        <v/>
      </c>
      <c r="AD17" s="218" t="str">
        <f t="shared" si="8"/>
        <v/>
      </c>
      <c r="AE17" s="201" t="s">
        <v>415</v>
      </c>
      <c r="AF17" s="198"/>
      <c r="AG17" s="204"/>
      <c r="AH17" s="204"/>
      <c r="AI17" s="200">
        <f t="shared" si="16"/>
        <v>0</v>
      </c>
      <c r="AJ17" s="200" t="str" cm="1">
        <f t="array" ref="AJ17">IF($AF$3&gt;"00",IF(AI17&lt;&gt;0,INDEX($G$2:$H$223,AI17-1,2),""),"")</f>
        <v/>
      </c>
      <c r="AK17" s="209" t="str">
        <f t="shared" si="11"/>
        <v/>
      </c>
      <c r="AL17" s="212" t="s">
        <v>415</v>
      </c>
      <c r="AM17" s="207"/>
      <c r="AN17" s="215"/>
      <c r="AO17" s="215"/>
      <c r="AP17" s="211">
        <f t="shared" si="17"/>
        <v>0</v>
      </c>
      <c r="AQ17" s="211" t="str" cm="1">
        <f t="array" ref="AQ17">IF($AM$3&gt;"00",IF(AP17&lt;&gt;0,INDEX($G$2:$H$223,AP17-1,2),""),"")</f>
        <v/>
      </c>
    </row>
    <row r="18" spans="1:43" x14ac:dyDescent="0.2">
      <c r="A18" s="133" t="s">
        <v>37</v>
      </c>
      <c r="B18" s="133" t="s">
        <v>37</v>
      </c>
      <c r="C18" s="133" t="s">
        <v>39</v>
      </c>
      <c r="D18" s="133" t="s">
        <v>357</v>
      </c>
      <c r="E18" s="133" t="s">
        <v>357</v>
      </c>
      <c r="F18" s="135" t="str">
        <f t="shared" si="0"/>
        <v>0202040000</v>
      </c>
      <c r="G18" s="134" t="s">
        <v>365</v>
      </c>
      <c r="H18" s="11" t="str">
        <f t="shared" si="3"/>
        <v>IMPOSTOS RODOVIÁRIOS - R0202040000</v>
      </c>
      <c r="I18" s="169" t="str">
        <f t="shared" si="4"/>
        <v/>
      </c>
      <c r="J18" s="174" t="s">
        <v>330</v>
      </c>
      <c r="K18" s="169"/>
      <c r="L18" s="170"/>
      <c r="M18" s="170"/>
      <c r="N18" s="170">
        <f t="shared" si="5"/>
        <v>0</v>
      </c>
      <c r="O18" s="170" t="str" cm="1">
        <f t="array" ref="O18">IF($K$3&gt;"00",IF(N18&lt;&gt;0,INDEX($G$2:$H$223,N18-1,2),""),"")</f>
        <v/>
      </c>
      <c r="P18" s="177" t="str">
        <f t="shared" si="6"/>
        <v/>
      </c>
      <c r="Q18" s="179" t="s">
        <v>330</v>
      </c>
      <c r="R18" s="192"/>
      <c r="S18" s="180"/>
      <c r="T18" s="193"/>
      <c r="U18" s="178">
        <f t="shared" si="14"/>
        <v>0</v>
      </c>
      <c r="V18" s="178" t="str" cm="1">
        <f t="array" ref="V18">IF($R$3&gt;"00",IF(U18&lt;&gt;0,INDEX($G$2:$H$223,U18-1,2),""),"")</f>
        <v/>
      </c>
      <c r="W18" s="183" t="str">
        <f t="shared" si="7"/>
        <v/>
      </c>
      <c r="X18" s="185" t="s">
        <v>330</v>
      </c>
      <c r="Y18" s="181"/>
      <c r="Z18" s="186"/>
      <c r="AA18" s="186"/>
      <c r="AB18" s="184">
        <f t="shared" si="15"/>
        <v>0</v>
      </c>
      <c r="AC18" s="184" t="str" cm="1">
        <f t="array" ref="AC18">IF($Y$3&gt;"00",IF(AB18&lt;&gt;0,INDEX($G$2:$H$223,AB18-1,2),""),"")</f>
        <v/>
      </c>
      <c r="AD18" s="218" t="str">
        <f t="shared" si="8"/>
        <v/>
      </c>
      <c r="AE18" s="201" t="s">
        <v>330</v>
      </c>
      <c r="AF18" s="198"/>
      <c r="AG18" s="204"/>
      <c r="AH18" s="204"/>
      <c r="AI18" s="200">
        <f t="shared" si="16"/>
        <v>0</v>
      </c>
      <c r="AJ18" s="200" t="str" cm="1">
        <f t="array" ref="AJ18">IF($AF$3&gt;"00",IF(AI18&lt;&gt;0,INDEX($G$2:$H$223,AI18-1,2),""),"")</f>
        <v/>
      </c>
      <c r="AK18" s="209" t="str">
        <f t="shared" si="11"/>
        <v/>
      </c>
      <c r="AL18" s="212" t="s">
        <v>330</v>
      </c>
      <c r="AM18" s="207"/>
      <c r="AN18" s="215"/>
      <c r="AO18" s="215"/>
      <c r="AP18" s="211">
        <f t="shared" si="17"/>
        <v>0</v>
      </c>
      <c r="AQ18" s="211" t="str" cm="1">
        <f t="array" ref="AQ18">IF($AM$3&gt;"00",IF(AP18&lt;&gt;0,INDEX($G$2:$H$223,AP18-1,2),""),"")</f>
        <v/>
      </c>
    </row>
    <row r="19" spans="1:43" x14ac:dyDescent="0.2">
      <c r="A19" s="133" t="s">
        <v>37</v>
      </c>
      <c r="B19" s="133" t="s">
        <v>37</v>
      </c>
      <c r="C19" s="133" t="s">
        <v>40</v>
      </c>
      <c r="D19" s="133" t="s">
        <v>357</v>
      </c>
      <c r="E19" s="133" t="s">
        <v>357</v>
      </c>
      <c r="F19" s="135" t="str">
        <f t="shared" si="0"/>
        <v>0202050000</v>
      </c>
      <c r="G19" s="134" t="s">
        <v>367</v>
      </c>
      <c r="H19" s="11" t="str">
        <f t="shared" si="3"/>
        <v>RESULTADOS EXPLORAÇÃO APOSTAS MUTUAS - R0202050000</v>
      </c>
      <c r="I19" s="169" t="str">
        <f t="shared" si="4"/>
        <v/>
      </c>
      <c r="J19" s="172"/>
      <c r="K19" s="169"/>
      <c r="L19" s="170"/>
      <c r="M19" s="170"/>
      <c r="N19" s="170">
        <f t="shared" si="5"/>
        <v>0</v>
      </c>
      <c r="O19" s="170" t="str" cm="1">
        <f t="array" ref="O19">IF($K$3&gt;"00",IF(N19&lt;&gt;0,INDEX($G$2:$H$223,N19-1,2),""),"")</f>
        <v/>
      </c>
      <c r="P19" s="177" t="str">
        <f t="shared" si="6"/>
        <v/>
      </c>
      <c r="Q19" s="194"/>
      <c r="R19" s="175"/>
      <c r="S19" s="180"/>
      <c r="T19" s="193"/>
      <c r="U19" s="178">
        <f t="shared" si="14"/>
        <v>0</v>
      </c>
      <c r="V19" s="178" t="str" cm="1">
        <f t="array" ref="V19">IF($R$3&gt;"00",IF(U19&lt;&gt;0,INDEX($G$2:$H$223,U19-1,2),""),"")</f>
        <v/>
      </c>
      <c r="W19" s="183" t="str">
        <f t="shared" si="7"/>
        <v/>
      </c>
      <c r="X19" s="186"/>
      <c r="Y19" s="181"/>
      <c r="Z19" s="186"/>
      <c r="AA19" s="186"/>
      <c r="AB19" s="184">
        <f t="shared" si="15"/>
        <v>0</v>
      </c>
      <c r="AC19" s="184" t="str" cm="1">
        <f t="array" ref="AC19">IF($Y$3&gt;"00",IF(AB19&lt;&gt;0,INDEX($G$2:$H$223,AB19-1,2),""),"")</f>
        <v/>
      </c>
      <c r="AD19" s="218" t="str">
        <f t="shared" si="8"/>
        <v/>
      </c>
      <c r="AE19" s="204"/>
      <c r="AF19" s="198"/>
      <c r="AG19" s="204"/>
      <c r="AH19" s="204"/>
      <c r="AI19" s="200">
        <f t="shared" si="16"/>
        <v>0</v>
      </c>
      <c r="AJ19" s="200" t="str" cm="1">
        <f t="array" ref="AJ19">IF($AF$3&gt;"00",IF(AI19&lt;&gt;0,INDEX($G$2:$H$223,AI19-1,2),""),"")</f>
        <v/>
      </c>
      <c r="AK19" s="209" t="str">
        <f t="shared" si="11"/>
        <v/>
      </c>
      <c r="AL19" s="215"/>
      <c r="AM19" s="207"/>
      <c r="AN19" s="215"/>
      <c r="AO19" s="215"/>
      <c r="AP19" s="211">
        <f t="shared" si="17"/>
        <v>0</v>
      </c>
      <c r="AQ19" s="211" t="str" cm="1">
        <f t="array" ref="AQ19">IF($AM$3&gt;"00",IF(AP19&lt;&gt;0,INDEX($G$2:$H$223,AP19-1,2),""),"")</f>
        <v/>
      </c>
    </row>
    <row r="20" spans="1:43" x14ac:dyDescent="0.2">
      <c r="A20" s="133" t="s">
        <v>37</v>
      </c>
      <c r="B20" s="133" t="s">
        <v>37</v>
      </c>
      <c r="C20" s="133" t="s">
        <v>329</v>
      </c>
      <c r="D20" s="133" t="s">
        <v>357</v>
      </c>
      <c r="E20" s="133" t="s">
        <v>357</v>
      </c>
      <c r="F20" s="135" t="str">
        <f t="shared" si="0"/>
        <v>0202990000</v>
      </c>
      <c r="G20" s="134" t="s">
        <v>373</v>
      </c>
      <c r="H20" s="11" t="str">
        <f t="shared" si="3"/>
        <v>IMPOSTOS INDIRETOS DIVERSOS - R0202990000</v>
      </c>
      <c r="I20" s="169" t="str">
        <f t="shared" si="4"/>
        <v/>
      </c>
      <c r="J20" s="171"/>
      <c r="K20" s="169"/>
      <c r="L20" s="170"/>
      <c r="M20" s="170"/>
      <c r="N20" s="170">
        <f t="shared" si="5"/>
        <v>0</v>
      </c>
      <c r="O20" s="170" t="str" cm="1">
        <f t="array" ref="O20">IF($K$3&gt;"00",IF(N20&lt;&gt;0,INDEX($G$2:$H$223,N20-1,2),""),"")</f>
        <v/>
      </c>
      <c r="P20" s="177" t="str">
        <f t="shared" si="6"/>
        <v/>
      </c>
      <c r="Q20" s="195"/>
      <c r="R20" s="175"/>
      <c r="S20" s="180"/>
      <c r="T20" s="193"/>
      <c r="U20" s="178">
        <f t="shared" si="14"/>
        <v>0</v>
      </c>
      <c r="V20" s="178" t="str" cm="1">
        <f t="array" ref="V20">IF($R$3&gt;"00",IF(U20&lt;&gt;0,INDEX($G$2:$H$223,U20-1,2),""),"")</f>
        <v/>
      </c>
      <c r="W20" s="183" t="str">
        <f t="shared" si="7"/>
        <v/>
      </c>
      <c r="X20" s="187"/>
      <c r="Y20" s="181"/>
      <c r="Z20" s="186"/>
      <c r="AA20" s="186"/>
      <c r="AB20" s="184">
        <f t="shared" si="15"/>
        <v>0</v>
      </c>
      <c r="AC20" s="184" t="str" cm="1">
        <f t="array" ref="AC20">IF($Y$3&gt;"00",IF(AB20&lt;&gt;0,INDEX($G$2:$H$223,AB20-1,2),""),"")</f>
        <v/>
      </c>
      <c r="AD20" s="218" t="str">
        <f t="shared" si="8"/>
        <v/>
      </c>
      <c r="AE20" s="205"/>
      <c r="AF20" s="198"/>
      <c r="AG20" s="204"/>
      <c r="AH20" s="204"/>
      <c r="AI20" s="200">
        <f t="shared" si="16"/>
        <v>0</v>
      </c>
      <c r="AJ20" s="200" t="str" cm="1">
        <f t="array" ref="AJ20">IF($AF$3&gt;"00",IF(AI20&lt;&gt;0,INDEX($G$2:$H$223,AI20-1,2),""),"")</f>
        <v/>
      </c>
      <c r="AK20" s="209" t="str">
        <f t="shared" si="11"/>
        <v/>
      </c>
      <c r="AL20" s="216"/>
      <c r="AM20" s="207"/>
      <c r="AN20" s="215"/>
      <c r="AO20" s="215"/>
      <c r="AP20" s="211">
        <f t="shared" si="17"/>
        <v>0</v>
      </c>
      <c r="AQ20" s="211" t="str" cm="1">
        <f t="array" ref="AQ20">IF($AM$3&gt;"00",IF(AP20&lt;&gt;0,INDEX($G$2:$H$223,AP20-1,2),""),"")</f>
        <v/>
      </c>
    </row>
    <row r="21" spans="1:43" x14ac:dyDescent="0.2">
      <c r="A21" s="133" t="s">
        <v>38</v>
      </c>
      <c r="B21" s="133" t="s">
        <v>38</v>
      </c>
      <c r="C21" s="133" t="s">
        <v>37</v>
      </c>
      <c r="D21" s="133" t="s">
        <v>357</v>
      </c>
      <c r="E21" s="133" t="s">
        <v>357</v>
      </c>
      <c r="F21" s="135" t="str">
        <f t="shared" si="0"/>
        <v>0303020000</v>
      </c>
      <c r="G21" s="134" t="s">
        <v>376</v>
      </c>
      <c r="H21" s="11" t="str">
        <f t="shared" si="3"/>
        <v>COMPARTICIPAÇÕES PARA A ADSE - R0303020000</v>
      </c>
      <c r="I21" s="169" t="str">
        <f t="shared" si="4"/>
        <v/>
      </c>
      <c r="J21" s="171"/>
      <c r="K21" s="169"/>
      <c r="L21" s="170"/>
      <c r="M21" s="170"/>
      <c r="N21" s="170">
        <f t="shared" si="5"/>
        <v>0</v>
      </c>
      <c r="O21" s="170" t="str" cm="1">
        <f t="array" ref="O21">IF($K$3&gt;"00",IF(N21&lt;&gt;0,INDEX($G$2:$H$223,N21-1,2),""),"")</f>
        <v/>
      </c>
      <c r="P21" s="177" t="str">
        <f t="shared" si="6"/>
        <v/>
      </c>
      <c r="Q21" s="195"/>
      <c r="R21" s="175"/>
      <c r="S21" s="180"/>
      <c r="T21" s="193"/>
      <c r="U21" s="178">
        <f t="shared" si="14"/>
        <v>0</v>
      </c>
      <c r="V21" s="178" t="str" cm="1">
        <f t="array" ref="V21">IF($R$3&gt;"00",IF(U21&lt;&gt;0,INDEX($G$2:$H$223,U21-1,2),""),"")</f>
        <v/>
      </c>
      <c r="W21" s="183" t="str">
        <f t="shared" si="7"/>
        <v/>
      </c>
      <c r="X21" s="187"/>
      <c r="Y21" s="181"/>
      <c r="Z21" s="186"/>
      <c r="AA21" s="186"/>
      <c r="AB21" s="184">
        <f t="shared" si="15"/>
        <v>0</v>
      </c>
      <c r="AC21" s="184" t="str" cm="1">
        <f t="array" ref="AC21">IF($Y$3&gt;"00",IF(AB21&lt;&gt;0,INDEX($G$2:$H$223,AB21-1,2),""),"")</f>
        <v/>
      </c>
      <c r="AD21" s="218" t="str">
        <f t="shared" si="8"/>
        <v/>
      </c>
      <c r="AE21" s="205"/>
      <c r="AF21" s="198"/>
      <c r="AG21" s="204"/>
      <c r="AH21" s="204"/>
      <c r="AI21" s="200">
        <f t="shared" si="16"/>
        <v>0</v>
      </c>
      <c r="AJ21" s="200" t="str" cm="1">
        <f t="array" ref="AJ21">IF($AF$3&gt;"00",IF(AI21&lt;&gt;0,INDEX($G$2:$H$223,AI21-1,2),""),"")</f>
        <v/>
      </c>
      <c r="AK21" s="209" t="str">
        <f t="shared" si="11"/>
        <v/>
      </c>
      <c r="AL21" s="216"/>
      <c r="AM21" s="207"/>
      <c r="AN21" s="215"/>
      <c r="AO21" s="215"/>
      <c r="AP21" s="211">
        <f t="shared" si="17"/>
        <v>0</v>
      </c>
      <c r="AQ21" s="211" t="str" cm="1">
        <f t="array" ref="AQ21">IF($AM$3&gt;"00",IF(AP21&lt;&gt;0,INDEX($G$2:$H$223,AP21-1,2),""),"")</f>
        <v/>
      </c>
    </row>
    <row r="22" spans="1:43" x14ac:dyDescent="0.2">
      <c r="A22" s="133" t="s">
        <v>38</v>
      </c>
      <c r="B22" s="133" t="s">
        <v>38</v>
      </c>
      <c r="C22" s="133" t="s">
        <v>329</v>
      </c>
      <c r="D22" s="133" t="s">
        <v>357</v>
      </c>
      <c r="E22" s="133" t="s">
        <v>357</v>
      </c>
      <c r="F22" s="135" t="str">
        <f t="shared" si="0"/>
        <v>0303990000</v>
      </c>
      <c r="G22" s="134" t="s">
        <v>377</v>
      </c>
      <c r="H22" s="11" t="str">
        <f t="shared" si="3"/>
        <v>OUTROS - R0303990000</v>
      </c>
      <c r="I22" s="169" t="str">
        <f t="shared" si="4"/>
        <v/>
      </c>
      <c r="J22" s="171"/>
      <c r="K22" s="169"/>
      <c r="L22" s="170"/>
      <c r="M22" s="170"/>
      <c r="N22" s="170">
        <f t="shared" si="5"/>
        <v>0</v>
      </c>
      <c r="O22" s="170" t="str" cm="1">
        <f t="array" ref="O22">IF($K$3&gt;"00",IF(N22&lt;&gt;0,INDEX($G$2:$H$223,N22-1,2),""),"")</f>
        <v/>
      </c>
      <c r="P22" s="177" t="str">
        <f t="shared" si="6"/>
        <v/>
      </c>
      <c r="Q22" s="195"/>
      <c r="R22" s="175"/>
      <c r="S22" s="180"/>
      <c r="T22" s="193"/>
      <c r="U22" s="178">
        <f t="shared" si="14"/>
        <v>0</v>
      </c>
      <c r="V22" s="178" t="str" cm="1">
        <f t="array" ref="V22">IF($R$3&gt;"00",IF(U22&lt;&gt;0,INDEX($G$2:$H$223,U22-1,2),""),"")</f>
        <v/>
      </c>
      <c r="W22" s="183" t="str">
        <f t="shared" si="7"/>
        <v/>
      </c>
      <c r="X22" s="187"/>
      <c r="Y22" s="181"/>
      <c r="Z22" s="186"/>
      <c r="AA22" s="186"/>
      <c r="AB22" s="184">
        <f t="shared" si="15"/>
        <v>0</v>
      </c>
      <c r="AC22" s="184" t="str" cm="1">
        <f t="array" ref="AC22">IF($Y$3&gt;"00",IF(AB22&lt;&gt;0,INDEX($G$2:$H$223,AB22-1,2),""),"")</f>
        <v/>
      </c>
      <c r="AD22" s="218" t="str">
        <f t="shared" si="8"/>
        <v/>
      </c>
      <c r="AE22" s="205"/>
      <c r="AF22" s="198"/>
      <c r="AG22" s="204"/>
      <c r="AH22" s="204"/>
      <c r="AI22" s="200">
        <f t="shared" si="16"/>
        <v>0</v>
      </c>
      <c r="AJ22" s="200" t="str" cm="1">
        <f t="array" ref="AJ22">IF($AF$3&gt;"00",IF(AI22&lt;&gt;0,INDEX($G$2:$H$223,AI22-1,2),""),"")</f>
        <v/>
      </c>
      <c r="AK22" s="209" t="str">
        <f t="shared" si="11"/>
        <v/>
      </c>
      <c r="AL22" s="216"/>
      <c r="AM22" s="207"/>
      <c r="AN22" s="215"/>
      <c r="AO22" s="215"/>
      <c r="AP22" s="211">
        <f t="shared" si="17"/>
        <v>0</v>
      </c>
      <c r="AQ22" s="211" t="str" cm="1">
        <f t="array" ref="AQ22">IF($AM$3&gt;"00",IF(AP22&lt;&gt;0,INDEX($G$2:$H$223,AP22-1,2),""),"")</f>
        <v/>
      </c>
    </row>
    <row r="23" spans="1:43" x14ac:dyDescent="0.2">
      <c r="A23" s="133" t="s">
        <v>39</v>
      </c>
      <c r="B23" s="133" t="s">
        <v>36</v>
      </c>
      <c r="C23" s="133" t="s">
        <v>36</v>
      </c>
      <c r="D23" s="133" t="s">
        <v>357</v>
      </c>
      <c r="E23" s="133" t="s">
        <v>357</v>
      </c>
      <c r="F23" s="135" t="str">
        <f t="shared" si="0"/>
        <v>0401010000</v>
      </c>
      <c r="G23" s="134" t="s">
        <v>382</v>
      </c>
      <c r="H23" s="11" t="str">
        <f t="shared" si="3"/>
        <v>TAXAS DE JUSTIÇA - R0401010000</v>
      </c>
      <c r="I23" s="169" t="str">
        <f t="shared" si="4"/>
        <v/>
      </c>
      <c r="J23" s="171"/>
      <c r="K23" s="169"/>
      <c r="L23" s="170"/>
      <c r="M23" s="170"/>
      <c r="N23" s="170">
        <f t="shared" si="5"/>
        <v>0</v>
      </c>
      <c r="O23" s="170" t="str" cm="1">
        <f t="array" ref="O23">IF($K$3&gt;"00",IF(N23&lt;&gt;0,INDEX($G$2:$H$223,N23-1,2),""),"")</f>
        <v/>
      </c>
      <c r="P23" s="177" t="str">
        <f t="shared" si="6"/>
        <v/>
      </c>
      <c r="Q23" s="195"/>
      <c r="R23" s="175"/>
      <c r="S23" s="180"/>
      <c r="T23" s="193"/>
      <c r="U23" s="178">
        <f t="shared" si="14"/>
        <v>0</v>
      </c>
      <c r="V23" s="178" t="str" cm="1">
        <f t="array" ref="V23">IF($R$3&gt;"00",IF(U23&lt;&gt;0,INDEX($G$2:$H$223,U23-1,2),""),"")</f>
        <v/>
      </c>
      <c r="W23" s="183" t="str">
        <f t="shared" si="7"/>
        <v/>
      </c>
      <c r="X23" s="187"/>
      <c r="Y23" s="181"/>
      <c r="Z23" s="186"/>
      <c r="AA23" s="186"/>
      <c r="AB23" s="184">
        <f t="shared" si="15"/>
        <v>0</v>
      </c>
      <c r="AC23" s="184" t="str" cm="1">
        <f t="array" ref="AC23">IF($Y$3&gt;"00",IF(AB23&lt;&gt;0,INDEX($G$2:$H$223,AB23-1,2),""),"")</f>
        <v/>
      </c>
      <c r="AD23" s="218" t="str">
        <f t="shared" si="8"/>
        <v/>
      </c>
      <c r="AE23" s="205"/>
      <c r="AF23" s="198"/>
      <c r="AG23" s="204"/>
      <c r="AH23" s="204"/>
      <c r="AI23" s="200">
        <f t="shared" si="16"/>
        <v>0</v>
      </c>
      <c r="AJ23" s="200" t="str" cm="1">
        <f t="array" ref="AJ23">IF($AF$3&gt;"00",IF(AI23&lt;&gt;0,INDEX($G$2:$H$223,AI23-1,2),""),"")</f>
        <v/>
      </c>
      <c r="AK23" s="209" t="str">
        <f t="shared" si="11"/>
        <v/>
      </c>
      <c r="AL23" s="216"/>
      <c r="AM23" s="207"/>
      <c r="AN23" s="215"/>
      <c r="AO23" s="215"/>
      <c r="AP23" s="211">
        <f t="shared" si="17"/>
        <v>0</v>
      </c>
      <c r="AQ23" s="211" t="str" cm="1">
        <f t="array" ref="AQ23">IF($AM$3&gt;"00",IF(AP23&lt;&gt;0,INDEX($G$2:$H$223,AP23-1,2),""),"")</f>
        <v/>
      </c>
    </row>
    <row r="24" spans="1:43" x14ac:dyDescent="0.2">
      <c r="A24" s="133" t="s">
        <v>39</v>
      </c>
      <c r="B24" s="133" t="s">
        <v>36</v>
      </c>
      <c r="C24" s="133" t="s">
        <v>37</v>
      </c>
      <c r="D24" s="133" t="s">
        <v>357</v>
      </c>
      <c r="E24" s="133" t="s">
        <v>357</v>
      </c>
      <c r="F24" s="135" t="str">
        <f t="shared" si="0"/>
        <v>0401020000</v>
      </c>
      <c r="G24" s="134" t="s">
        <v>378</v>
      </c>
      <c r="H24" s="11" t="str">
        <f t="shared" si="3"/>
        <v>TAXAS DE REGISTO DE NOTARIADO - R0401020000</v>
      </c>
      <c r="I24" s="169" t="str">
        <f t="shared" si="4"/>
        <v/>
      </c>
      <c r="J24" s="171"/>
      <c r="K24" s="169"/>
      <c r="L24" s="170"/>
      <c r="M24" s="170"/>
      <c r="N24" s="170">
        <f t="shared" si="5"/>
        <v>0</v>
      </c>
      <c r="O24" s="170" t="str" cm="1">
        <f t="array" ref="O24">IF($K$3&gt;"00",IF(N24&lt;&gt;0,INDEX($G$2:$H$223,N24-1,2),""),"")</f>
        <v/>
      </c>
      <c r="P24" s="177" t="str">
        <f t="shared" si="6"/>
        <v/>
      </c>
      <c r="Q24" s="195"/>
      <c r="R24" s="175"/>
      <c r="S24" s="180"/>
      <c r="T24" s="193"/>
      <c r="U24" s="178">
        <f t="shared" si="14"/>
        <v>0</v>
      </c>
      <c r="V24" s="178" t="str" cm="1">
        <f t="array" ref="V24">IF($R$3&gt;"00",IF(U24&lt;&gt;0,INDEX($G$2:$H$223,U24-1,2),""),"")</f>
        <v/>
      </c>
      <c r="W24" s="183" t="str">
        <f t="shared" si="7"/>
        <v/>
      </c>
      <c r="X24" s="187"/>
      <c r="Y24" s="181"/>
      <c r="Z24" s="186"/>
      <c r="AA24" s="186"/>
      <c r="AB24" s="184">
        <f t="shared" si="15"/>
        <v>0</v>
      </c>
      <c r="AC24" s="184" t="str" cm="1">
        <f t="array" ref="AC24">IF($Y$3&gt;"00",IF(AB24&lt;&gt;0,INDEX($G$2:$H$223,AB24-1,2),""),"")</f>
        <v/>
      </c>
      <c r="AD24" s="218" t="str">
        <f t="shared" si="8"/>
        <v/>
      </c>
      <c r="AE24" s="205"/>
      <c r="AF24" s="198"/>
      <c r="AG24" s="204"/>
      <c r="AH24" s="204"/>
      <c r="AI24" s="200">
        <f t="shared" si="16"/>
        <v>0</v>
      </c>
      <c r="AJ24" s="200" t="str" cm="1">
        <f t="array" ref="AJ24">IF($AF$3&gt;"00",IF(AI24&lt;&gt;0,INDEX($G$2:$H$223,AI24-1,2),""),"")</f>
        <v/>
      </c>
      <c r="AK24" s="209" t="str">
        <f t="shared" si="11"/>
        <v/>
      </c>
      <c r="AL24" s="216"/>
      <c r="AM24" s="207"/>
      <c r="AN24" s="215"/>
      <c r="AO24" s="215"/>
      <c r="AP24" s="211">
        <f t="shared" si="17"/>
        <v>0</v>
      </c>
      <c r="AQ24" s="211" t="str" cm="1">
        <f t="array" ref="AQ24">IF($AM$3&gt;"00",IF(AP24&lt;&gt;0,INDEX($G$2:$H$223,AP24-1,2),""),"")</f>
        <v/>
      </c>
    </row>
    <row r="25" spans="1:43" x14ac:dyDescent="0.2">
      <c r="A25" s="133" t="s">
        <v>39</v>
      </c>
      <c r="B25" s="133" t="s">
        <v>36</v>
      </c>
      <c r="C25" s="133" t="s">
        <v>38</v>
      </c>
      <c r="D25" s="133" t="s">
        <v>357</v>
      </c>
      <c r="E25" s="133" t="s">
        <v>357</v>
      </c>
      <c r="F25" s="135" t="str">
        <f t="shared" si="0"/>
        <v>0401030000</v>
      </c>
      <c r="G25" s="134" t="s">
        <v>397</v>
      </c>
      <c r="H25" s="11" t="str">
        <f t="shared" si="3"/>
        <v>TAXAS DE REGISTO PREDIAL - R0401030000</v>
      </c>
      <c r="I25" s="169" t="str">
        <f t="shared" si="4"/>
        <v/>
      </c>
      <c r="J25" s="171"/>
      <c r="K25" s="169"/>
      <c r="L25" s="170"/>
      <c r="M25" s="170"/>
      <c r="N25" s="170">
        <f t="shared" si="5"/>
        <v>0</v>
      </c>
      <c r="O25" s="170" t="str" cm="1">
        <f t="array" ref="O25">IF($K$3&gt;"00",IF(N25&lt;&gt;0,INDEX($G$2:$H$223,N25-1,2),""),"")</f>
        <v/>
      </c>
      <c r="P25" s="177" t="str">
        <f t="shared" si="6"/>
        <v/>
      </c>
      <c r="Q25" s="195"/>
      <c r="R25" s="175"/>
      <c r="S25" s="180"/>
      <c r="T25" s="193"/>
      <c r="U25" s="178">
        <f t="shared" si="14"/>
        <v>0</v>
      </c>
      <c r="V25" s="178" t="str" cm="1">
        <f t="array" ref="V25">IF($R$3&gt;"00",IF(U25&lt;&gt;0,INDEX($G$2:$H$223,U25-1,2),""),"")</f>
        <v/>
      </c>
      <c r="W25" s="183" t="str">
        <f t="shared" si="7"/>
        <v/>
      </c>
      <c r="X25" s="187"/>
      <c r="Y25" s="181"/>
      <c r="Z25" s="186"/>
      <c r="AA25" s="186"/>
      <c r="AB25" s="184">
        <f t="shared" si="15"/>
        <v>0</v>
      </c>
      <c r="AC25" s="184" t="str" cm="1">
        <f t="array" ref="AC25">IF($Y$3&gt;"00",IF(AB25&lt;&gt;0,INDEX($G$2:$H$223,AB25-1,2),""),"")</f>
        <v/>
      </c>
      <c r="AD25" s="218" t="str">
        <f t="shared" si="8"/>
        <v/>
      </c>
      <c r="AE25" s="205"/>
      <c r="AF25" s="198"/>
      <c r="AG25" s="204"/>
      <c r="AH25" s="204"/>
      <c r="AI25" s="200">
        <f t="shared" si="16"/>
        <v>0</v>
      </c>
      <c r="AJ25" s="200" t="str" cm="1">
        <f t="array" ref="AJ25">IF($AF$3&gt;"00",IF(AI25&lt;&gt;0,INDEX($G$2:$H$223,AI25-1,2),""),"")</f>
        <v/>
      </c>
      <c r="AK25" s="209" t="str">
        <f t="shared" si="11"/>
        <v/>
      </c>
      <c r="AL25" s="216"/>
      <c r="AM25" s="207"/>
      <c r="AN25" s="215"/>
      <c r="AO25" s="215"/>
      <c r="AP25" s="211">
        <f t="shared" si="17"/>
        <v>0</v>
      </c>
      <c r="AQ25" s="211" t="str" cm="1">
        <f t="array" ref="AQ25">IF($AM$3&gt;"00",IF(AP25&lt;&gt;0,INDEX($G$2:$H$223,AP25-1,2),""),"")</f>
        <v/>
      </c>
    </row>
    <row r="26" spans="1:43" x14ac:dyDescent="0.2">
      <c r="A26" s="133" t="s">
        <v>39</v>
      </c>
      <c r="B26" s="133" t="s">
        <v>36</v>
      </c>
      <c r="C26" s="133" t="s">
        <v>39</v>
      </c>
      <c r="D26" s="133" t="s">
        <v>357</v>
      </c>
      <c r="E26" s="133" t="s">
        <v>357</v>
      </c>
      <c r="F26" s="135" t="str">
        <f t="shared" si="0"/>
        <v>0401040000</v>
      </c>
      <c r="G26" s="134" t="s">
        <v>392</v>
      </c>
      <c r="H26" s="11" t="str">
        <f t="shared" si="3"/>
        <v>TAXAS DE REGISTO CIVIL - R0401040000</v>
      </c>
      <c r="I26" s="169" t="str">
        <f t="shared" si="4"/>
        <v/>
      </c>
      <c r="J26" s="171"/>
      <c r="K26" s="169"/>
      <c r="L26" s="170"/>
      <c r="M26" s="170"/>
      <c r="N26" s="170">
        <f t="shared" si="5"/>
        <v>0</v>
      </c>
      <c r="O26" s="170" t="str" cm="1">
        <f t="array" ref="O26">IF($K$3&gt;"00",IF(N26&lt;&gt;0,INDEX($G$2:$H$223,N26-1,2),""),"")</f>
        <v/>
      </c>
      <c r="P26" s="177" t="str">
        <f t="shared" si="6"/>
        <v/>
      </c>
      <c r="Q26" s="195"/>
      <c r="R26" s="175"/>
      <c r="S26" s="180"/>
      <c r="T26" s="193"/>
      <c r="U26" s="178">
        <f t="shared" si="14"/>
        <v>0</v>
      </c>
      <c r="V26" s="178" t="str" cm="1">
        <f t="array" ref="V26">IF($R$3&gt;"00",IF(U26&lt;&gt;0,INDEX($G$2:$H$223,U26-1,2),""),"")</f>
        <v/>
      </c>
      <c r="W26" s="183" t="str">
        <f t="shared" si="7"/>
        <v/>
      </c>
      <c r="X26" s="187"/>
      <c r="Y26" s="181"/>
      <c r="Z26" s="186"/>
      <c r="AA26" s="186"/>
      <c r="AB26" s="184">
        <f t="shared" si="15"/>
        <v>0</v>
      </c>
      <c r="AC26" s="184" t="str" cm="1">
        <f t="array" ref="AC26">IF($Y$3&gt;"00",IF(AB26&lt;&gt;0,INDEX($G$2:$H$223,AB26-1,2),""),"")</f>
        <v/>
      </c>
      <c r="AD26" s="218" t="str">
        <f t="shared" si="8"/>
        <v/>
      </c>
      <c r="AE26" s="205"/>
      <c r="AF26" s="198"/>
      <c r="AG26" s="204"/>
      <c r="AH26" s="204"/>
      <c r="AI26" s="200">
        <f t="shared" si="16"/>
        <v>0</v>
      </c>
      <c r="AJ26" s="200" t="str" cm="1">
        <f t="array" ref="AJ26">IF($AF$3&gt;"00",IF(AI26&lt;&gt;0,INDEX($G$2:$H$223,AI26-1,2),""),"")</f>
        <v/>
      </c>
      <c r="AK26" s="209" t="str">
        <f t="shared" si="11"/>
        <v/>
      </c>
      <c r="AL26" s="216"/>
      <c r="AM26" s="207"/>
      <c r="AN26" s="215"/>
      <c r="AO26" s="215"/>
      <c r="AP26" s="211">
        <f t="shared" si="17"/>
        <v>0</v>
      </c>
      <c r="AQ26" s="211" t="str" cm="1">
        <f t="array" ref="AQ26">IF($AM$3&gt;"00",IF(AP26&lt;&gt;0,INDEX($G$2:$H$223,AP26-1,2),""),"")</f>
        <v/>
      </c>
    </row>
    <row r="27" spans="1:43" x14ac:dyDescent="0.2">
      <c r="A27" s="133" t="s">
        <v>39</v>
      </c>
      <c r="B27" s="133" t="s">
        <v>36</v>
      </c>
      <c r="C27" s="133" t="s">
        <v>40</v>
      </c>
      <c r="D27" s="133" t="s">
        <v>357</v>
      </c>
      <c r="E27" s="133" t="s">
        <v>357</v>
      </c>
      <c r="F27" s="135" t="str">
        <f t="shared" si="0"/>
        <v>0401050000</v>
      </c>
      <c r="G27" s="134" t="s">
        <v>398</v>
      </c>
      <c r="H27" s="11" t="str">
        <f t="shared" si="3"/>
        <v>TAXAS DE REGISTO COMERCIAL - R0401050000</v>
      </c>
      <c r="I27" s="169" t="str">
        <f t="shared" si="4"/>
        <v/>
      </c>
      <c r="J27" s="171"/>
      <c r="K27" s="169"/>
      <c r="L27" s="170"/>
      <c r="M27" s="170"/>
      <c r="N27" s="170">
        <f t="shared" si="5"/>
        <v>0</v>
      </c>
      <c r="O27" s="170" t="str" cm="1">
        <f t="array" ref="O27">IF($K$3&gt;"00",IF(N27&lt;&gt;0,INDEX($G$2:$H$223,N27-1,2),""),"")</f>
        <v/>
      </c>
      <c r="P27" s="177" t="str">
        <f t="shared" si="6"/>
        <v/>
      </c>
      <c r="Q27" s="195"/>
      <c r="R27" s="175"/>
      <c r="S27" s="180"/>
      <c r="T27" s="193"/>
      <c r="U27" s="178">
        <f t="shared" si="14"/>
        <v>0</v>
      </c>
      <c r="V27" s="178" t="str" cm="1">
        <f t="array" ref="V27">IF($R$3&gt;"00",IF(U27&lt;&gt;0,INDEX($G$2:$H$223,U27-1,2),""),"")</f>
        <v/>
      </c>
      <c r="W27" s="183" t="str">
        <f t="shared" si="7"/>
        <v/>
      </c>
      <c r="X27" s="187"/>
      <c r="Y27" s="181"/>
      <c r="Z27" s="186"/>
      <c r="AA27" s="186"/>
      <c r="AB27" s="184">
        <f t="shared" si="15"/>
        <v>0</v>
      </c>
      <c r="AC27" s="184" t="str" cm="1">
        <f t="array" ref="AC27">IF($Y$3&gt;"00",IF(AB27&lt;&gt;0,INDEX($G$2:$H$223,AB27-1,2),""),"")</f>
        <v/>
      </c>
      <c r="AD27" s="218" t="str">
        <f t="shared" si="8"/>
        <v/>
      </c>
      <c r="AE27" s="205"/>
      <c r="AF27" s="198"/>
      <c r="AG27" s="204"/>
      <c r="AH27" s="204"/>
      <c r="AI27" s="200">
        <f t="shared" si="16"/>
        <v>0</v>
      </c>
      <c r="AJ27" s="200" t="str" cm="1">
        <f t="array" ref="AJ27">IF($AF$3&gt;"00",IF(AI27&lt;&gt;0,INDEX($G$2:$H$223,AI27-1,2),""),"")</f>
        <v/>
      </c>
      <c r="AK27" s="209" t="str">
        <f t="shared" si="11"/>
        <v/>
      </c>
      <c r="AL27" s="216"/>
      <c r="AM27" s="207"/>
      <c r="AN27" s="215"/>
      <c r="AO27" s="215"/>
      <c r="AP27" s="211">
        <f t="shared" si="17"/>
        <v>0</v>
      </c>
      <c r="AQ27" s="211" t="str" cm="1">
        <f t="array" ref="AQ27">IF($AM$3&gt;"00",IF(AP27&lt;&gt;0,INDEX($G$2:$H$223,AP27-1,2),""),"")</f>
        <v/>
      </c>
    </row>
    <row r="28" spans="1:43" x14ac:dyDescent="0.2">
      <c r="A28" s="133" t="s">
        <v>39</v>
      </c>
      <c r="B28" s="133" t="s">
        <v>36</v>
      </c>
      <c r="C28" s="133" t="s">
        <v>41</v>
      </c>
      <c r="D28" s="133" t="s">
        <v>357</v>
      </c>
      <c r="E28" s="133" t="s">
        <v>357</v>
      </c>
      <c r="F28" s="135" t="str">
        <f t="shared" si="0"/>
        <v>0401060000</v>
      </c>
      <c r="G28" s="134" t="s">
        <v>410</v>
      </c>
      <c r="H28" s="11" t="str">
        <f t="shared" si="3"/>
        <v>TAXAS FLORESTAIS - R0401060000</v>
      </c>
      <c r="I28" s="169" t="str">
        <f t="shared" si="4"/>
        <v/>
      </c>
      <c r="J28" s="173"/>
      <c r="K28" s="169"/>
      <c r="L28" s="170"/>
      <c r="M28" s="170"/>
      <c r="N28" s="170">
        <f t="shared" si="5"/>
        <v>0</v>
      </c>
      <c r="O28" s="170" t="str" cm="1">
        <f t="array" ref="O28">IF($K$3&gt;"00",IF(N28&lt;&gt;0,INDEX($G$2:$H$223,N28-1,2),""),"")</f>
        <v/>
      </c>
      <c r="P28" s="177" t="str">
        <f t="shared" si="6"/>
        <v/>
      </c>
      <c r="Q28" s="196"/>
      <c r="R28" s="175"/>
      <c r="S28" s="180"/>
      <c r="T28" s="193"/>
      <c r="U28" s="178">
        <f t="shared" si="14"/>
        <v>0</v>
      </c>
      <c r="V28" s="178" t="str" cm="1">
        <f t="array" ref="V28">IF($R$3&gt;"00",IF(U28&lt;&gt;0,INDEX($G$2:$H$223,U28-1,2),""),"")</f>
        <v/>
      </c>
      <c r="W28" s="183" t="str">
        <f t="shared" si="7"/>
        <v/>
      </c>
      <c r="X28" s="188"/>
      <c r="Y28" s="181"/>
      <c r="Z28" s="186"/>
      <c r="AA28" s="186"/>
      <c r="AB28" s="184">
        <f t="shared" si="15"/>
        <v>0</v>
      </c>
      <c r="AC28" s="184" t="str" cm="1">
        <f t="array" ref="AC28">IF($Y$3&gt;"00",IF(AB28&lt;&gt;0,INDEX($G$2:$H$223,AB28-1,2),""),"")</f>
        <v/>
      </c>
      <c r="AD28" s="218" t="str">
        <f t="shared" si="8"/>
        <v/>
      </c>
      <c r="AE28" s="206"/>
      <c r="AF28" s="198"/>
      <c r="AG28" s="204"/>
      <c r="AH28" s="204"/>
      <c r="AI28" s="200">
        <f t="shared" si="16"/>
        <v>0</v>
      </c>
      <c r="AJ28" s="200" t="str" cm="1">
        <f t="array" ref="AJ28">IF($AF$3&gt;"00",IF(AI28&lt;&gt;0,INDEX($G$2:$H$223,AI28-1,2),""),"")</f>
        <v/>
      </c>
      <c r="AK28" s="209" t="str">
        <f t="shared" si="11"/>
        <v/>
      </c>
      <c r="AL28" s="217"/>
      <c r="AM28" s="207"/>
      <c r="AN28" s="215"/>
      <c r="AO28" s="215"/>
      <c r="AP28" s="211">
        <f t="shared" si="17"/>
        <v>0</v>
      </c>
      <c r="AQ28" s="211" t="str" cm="1">
        <f t="array" ref="AQ28">IF($AM$3&gt;"00",IF(AP28&lt;&gt;0,INDEX($G$2:$H$223,AP28-1,2),""),"")</f>
        <v/>
      </c>
    </row>
    <row r="29" spans="1:43" x14ac:dyDescent="0.2">
      <c r="A29" s="133" t="s">
        <v>39</v>
      </c>
      <c r="B29" s="133" t="s">
        <v>36</v>
      </c>
      <c r="C29" s="133" t="s">
        <v>42</v>
      </c>
      <c r="D29" s="133" t="s">
        <v>357</v>
      </c>
      <c r="E29" s="133" t="s">
        <v>357</v>
      </c>
      <c r="F29" s="135" t="str">
        <f t="shared" si="0"/>
        <v>0401070000</v>
      </c>
      <c r="G29" s="134" t="s">
        <v>399</v>
      </c>
      <c r="H29" s="11" t="str">
        <f t="shared" si="3"/>
        <v>TAXAS VINÍCOLAS - R0401070000</v>
      </c>
      <c r="I29" s="169" t="str">
        <f t="shared" si="4"/>
        <v/>
      </c>
      <c r="J29" s="171"/>
      <c r="K29" s="169"/>
      <c r="L29" s="170"/>
      <c r="M29" s="170"/>
      <c r="N29" s="170">
        <f t="shared" si="5"/>
        <v>0</v>
      </c>
      <c r="O29" s="170" t="str" cm="1">
        <f t="array" ref="O29">IF($K$3&gt;"00",IF(N29&lt;&gt;0,INDEX($G$2:$H$223,N29-1,2),""),"")</f>
        <v/>
      </c>
      <c r="P29" s="177" t="str">
        <f t="shared" si="6"/>
        <v/>
      </c>
      <c r="Q29" s="195"/>
      <c r="R29" s="175"/>
      <c r="S29" s="180"/>
      <c r="T29" s="193"/>
      <c r="U29" s="178">
        <f t="shared" si="14"/>
        <v>0</v>
      </c>
      <c r="V29" s="178" t="str" cm="1">
        <f t="array" ref="V29">IF($R$3&gt;"00",IF(U29&lt;&gt;0,INDEX($G$2:$H$223,U29-1,2),""),"")</f>
        <v/>
      </c>
      <c r="W29" s="183" t="str">
        <f t="shared" si="7"/>
        <v/>
      </c>
      <c r="X29" s="187"/>
      <c r="Y29" s="181"/>
      <c r="Z29" s="186"/>
      <c r="AA29" s="186"/>
      <c r="AB29" s="184">
        <f t="shared" si="15"/>
        <v>0</v>
      </c>
      <c r="AC29" s="184" t="str" cm="1">
        <f t="array" ref="AC29">IF($Y$3&gt;"00",IF(AB29&lt;&gt;0,INDEX($G$2:$H$223,AB29-1,2),""),"")</f>
        <v/>
      </c>
      <c r="AD29" s="218" t="str">
        <f t="shared" si="8"/>
        <v/>
      </c>
      <c r="AE29" s="205"/>
      <c r="AF29" s="198"/>
      <c r="AG29" s="204"/>
      <c r="AH29" s="204"/>
      <c r="AI29" s="200">
        <f t="shared" si="16"/>
        <v>0</v>
      </c>
      <c r="AJ29" s="200" t="str" cm="1">
        <f t="array" ref="AJ29">IF($AF$3&gt;"00",IF(AI29&lt;&gt;0,INDEX($G$2:$H$223,AI29-1,2),""),"")</f>
        <v/>
      </c>
      <c r="AK29" s="209" t="str">
        <f t="shared" si="11"/>
        <v/>
      </c>
      <c r="AL29" s="216"/>
      <c r="AM29" s="207"/>
      <c r="AN29" s="215"/>
      <c r="AO29" s="215"/>
      <c r="AP29" s="211">
        <f t="shared" si="17"/>
        <v>0</v>
      </c>
      <c r="AQ29" s="211" t="str" cm="1">
        <f t="array" ref="AQ29">IF($AM$3&gt;"00",IF(AP29&lt;&gt;0,INDEX($G$2:$H$223,AP29-1,2),""),"")</f>
        <v/>
      </c>
    </row>
    <row r="30" spans="1:43" x14ac:dyDescent="0.2">
      <c r="A30" s="133" t="s">
        <v>39</v>
      </c>
      <c r="B30" s="133" t="s">
        <v>36</v>
      </c>
      <c r="C30" s="133" t="s">
        <v>43</v>
      </c>
      <c r="D30" s="133" t="s">
        <v>357</v>
      </c>
      <c r="E30" s="133" t="s">
        <v>357</v>
      </c>
      <c r="F30" s="135" t="str">
        <f t="shared" si="0"/>
        <v>0401080000</v>
      </c>
      <c r="G30" s="134" t="s">
        <v>403</v>
      </c>
      <c r="H30" s="11" t="str">
        <f t="shared" si="3"/>
        <v>TAXAS MODERADORAS - R0401080000</v>
      </c>
      <c r="I30" s="169" t="str">
        <f t="shared" si="4"/>
        <v/>
      </c>
      <c r="J30" s="171"/>
      <c r="K30" s="169"/>
      <c r="L30" s="170"/>
      <c r="M30" s="170"/>
      <c r="N30" s="170">
        <f t="shared" si="5"/>
        <v>0</v>
      </c>
      <c r="O30" s="170" t="str" cm="1">
        <f t="array" ref="O30">IF($K$3&gt;"00",IF(N30&lt;&gt;0,INDEX($G$2:$H$223,N30-1,2),""),"")</f>
        <v/>
      </c>
      <c r="P30" s="177" t="str">
        <f t="shared" si="6"/>
        <v/>
      </c>
      <c r="Q30" s="195"/>
      <c r="R30" s="175"/>
      <c r="S30" s="180"/>
      <c r="T30" s="193"/>
      <c r="U30" s="178">
        <f t="shared" si="14"/>
        <v>0</v>
      </c>
      <c r="V30" s="178" t="str" cm="1">
        <f t="array" ref="V30">IF($R$3&gt;"00",IF(U30&lt;&gt;0,INDEX($G$2:$H$223,U30-1,2),""),"")</f>
        <v/>
      </c>
      <c r="W30" s="183" t="str">
        <f t="shared" si="7"/>
        <v/>
      </c>
      <c r="X30" s="187"/>
      <c r="Y30" s="181"/>
      <c r="Z30" s="186"/>
      <c r="AA30" s="186"/>
      <c r="AB30" s="184">
        <f t="shared" si="15"/>
        <v>0</v>
      </c>
      <c r="AC30" s="184" t="str" cm="1">
        <f t="array" ref="AC30">IF($Y$3&gt;"00",IF(AB30&lt;&gt;0,INDEX($G$2:$H$223,AB30-1,2),""),"")</f>
        <v/>
      </c>
      <c r="AD30" s="218" t="str">
        <f t="shared" si="8"/>
        <v/>
      </c>
      <c r="AE30" s="205"/>
      <c r="AF30" s="198"/>
      <c r="AG30" s="204"/>
      <c r="AH30" s="204"/>
      <c r="AI30" s="200">
        <f t="shared" si="16"/>
        <v>0</v>
      </c>
      <c r="AJ30" s="200" t="str" cm="1">
        <f t="array" ref="AJ30">IF($AF$3&gt;"00",IF(AI30&lt;&gt;0,INDEX($G$2:$H$223,AI30-1,2),""),"")</f>
        <v/>
      </c>
      <c r="AK30" s="209" t="str">
        <f t="shared" si="11"/>
        <v/>
      </c>
      <c r="AL30" s="216"/>
      <c r="AM30" s="207"/>
      <c r="AN30" s="215"/>
      <c r="AO30" s="215"/>
      <c r="AP30" s="211">
        <f t="shared" si="17"/>
        <v>0</v>
      </c>
      <c r="AQ30" s="211" t="str" cm="1">
        <f t="array" ref="AQ30">IF($AM$3&gt;"00",IF(AP30&lt;&gt;0,INDEX($G$2:$H$223,AP30-1,2),""),"")</f>
        <v/>
      </c>
    </row>
    <row r="31" spans="1:43" x14ac:dyDescent="0.2">
      <c r="A31" s="133" t="s">
        <v>39</v>
      </c>
      <c r="B31" s="133" t="s">
        <v>36</v>
      </c>
      <c r="C31" s="133" t="s">
        <v>44</v>
      </c>
      <c r="D31" s="133" t="s">
        <v>357</v>
      </c>
      <c r="E31" s="133" t="s">
        <v>357</v>
      </c>
      <c r="F31" s="135" t="str">
        <f t="shared" si="0"/>
        <v>0401090000</v>
      </c>
      <c r="G31" s="134" t="s">
        <v>395</v>
      </c>
      <c r="H31" s="11" t="str">
        <f t="shared" si="3"/>
        <v>TAXAS S/ ESPETÁCULOS E DIVERTIMENTOS - R0401090000</v>
      </c>
      <c r="I31" s="169" t="str">
        <f t="shared" si="4"/>
        <v/>
      </c>
      <c r="J31" s="173"/>
      <c r="K31" s="169"/>
      <c r="L31" s="170"/>
      <c r="M31" s="170"/>
      <c r="N31" s="170">
        <f t="shared" si="5"/>
        <v>0</v>
      </c>
      <c r="O31" s="170" t="str" cm="1">
        <f t="array" ref="O31">IF($K$3&gt;"00",IF(N31&lt;&gt;0,INDEX($G$2:$H$223,N31-1,2),""),"")</f>
        <v/>
      </c>
      <c r="P31" s="177" t="str">
        <f t="shared" si="6"/>
        <v/>
      </c>
      <c r="Q31" s="196"/>
      <c r="R31" s="175"/>
      <c r="S31" s="180"/>
      <c r="T31" s="193"/>
      <c r="U31" s="178">
        <f t="shared" si="14"/>
        <v>0</v>
      </c>
      <c r="V31" s="178" t="str" cm="1">
        <f t="array" ref="V31">IF($R$3&gt;"00",IF(U31&lt;&gt;0,INDEX($G$2:$H$223,U31-1,2),""),"")</f>
        <v/>
      </c>
      <c r="W31" s="183" t="str">
        <f t="shared" si="7"/>
        <v/>
      </c>
      <c r="X31" s="188"/>
      <c r="Y31" s="181"/>
      <c r="Z31" s="186"/>
      <c r="AA31" s="186"/>
      <c r="AB31" s="184">
        <f t="shared" si="15"/>
        <v>0</v>
      </c>
      <c r="AC31" s="184" t="str" cm="1">
        <f t="array" ref="AC31">IF($Y$3&gt;"00",IF(AB31&lt;&gt;0,INDEX($G$2:$H$223,AB31-1,2),""),"")</f>
        <v/>
      </c>
      <c r="AD31" s="218" t="str">
        <f t="shared" si="8"/>
        <v/>
      </c>
      <c r="AE31" s="206"/>
      <c r="AF31" s="198"/>
      <c r="AG31" s="204"/>
      <c r="AH31" s="204"/>
      <c r="AI31" s="200">
        <f t="shared" si="16"/>
        <v>0</v>
      </c>
      <c r="AJ31" s="200" t="str" cm="1">
        <f t="array" ref="AJ31">IF($AF$3&gt;"00",IF(AI31&lt;&gt;0,INDEX($G$2:$H$223,AI31-1,2),""),"")</f>
        <v/>
      </c>
      <c r="AK31" s="209" t="str">
        <f t="shared" si="11"/>
        <v/>
      </c>
      <c r="AL31" s="217"/>
      <c r="AM31" s="207"/>
      <c r="AN31" s="215"/>
      <c r="AO31" s="215"/>
      <c r="AP31" s="211">
        <f t="shared" si="17"/>
        <v>0</v>
      </c>
      <c r="AQ31" s="211" t="str" cm="1">
        <f t="array" ref="AQ31">IF($AM$3&gt;"00",IF(AP31&lt;&gt;0,INDEX($G$2:$H$223,AP31-1,2),""),"")</f>
        <v/>
      </c>
    </row>
    <row r="32" spans="1:43" x14ac:dyDescent="0.2">
      <c r="A32" s="133" t="s">
        <v>39</v>
      </c>
      <c r="B32" s="133" t="s">
        <v>36</v>
      </c>
      <c r="C32" s="133" t="s">
        <v>45</v>
      </c>
      <c r="D32" s="133" t="s">
        <v>357</v>
      </c>
      <c r="E32" s="133" t="s">
        <v>357</v>
      </c>
      <c r="F32" s="135" t="str">
        <f t="shared" si="0"/>
        <v>0401100000</v>
      </c>
      <c r="G32" s="134" t="s">
        <v>391</v>
      </c>
      <c r="H32" s="11" t="str">
        <f t="shared" si="3"/>
        <v>TAXAS S/ ENERGIA - R0401100000</v>
      </c>
      <c r="I32" s="169" t="str">
        <f t="shared" si="4"/>
        <v/>
      </c>
      <c r="J32" s="171"/>
      <c r="K32" s="169"/>
      <c r="L32" s="170"/>
      <c r="M32" s="170"/>
      <c r="N32" s="170">
        <f t="shared" si="5"/>
        <v>0</v>
      </c>
      <c r="O32" s="170" t="str" cm="1">
        <f t="array" ref="O32">IF($K$3&gt;"00",IF(N32&lt;&gt;0,INDEX($G$2:$H$223,N32-1,2),""),"")</f>
        <v/>
      </c>
      <c r="P32" s="177" t="str">
        <f t="shared" si="6"/>
        <v/>
      </c>
      <c r="Q32" s="195"/>
      <c r="R32" s="175"/>
      <c r="S32" s="180"/>
      <c r="T32" s="193"/>
      <c r="U32" s="178">
        <f t="shared" si="14"/>
        <v>0</v>
      </c>
      <c r="V32" s="178" t="str" cm="1">
        <f t="array" ref="V32">IF($R$3&gt;"00",IF(U32&lt;&gt;0,INDEX($G$2:$H$223,U32-1,2),""),"")</f>
        <v/>
      </c>
      <c r="W32" s="183" t="str">
        <f t="shared" si="7"/>
        <v/>
      </c>
      <c r="X32" s="187"/>
      <c r="Y32" s="181"/>
      <c r="Z32" s="186"/>
      <c r="AA32" s="186"/>
      <c r="AB32" s="184">
        <f t="shared" si="15"/>
        <v>0</v>
      </c>
      <c r="AC32" s="184" t="str" cm="1">
        <f t="array" ref="AC32">IF($Y$3&gt;"00",IF(AB32&lt;&gt;0,INDEX($G$2:$H$223,AB32-1,2),""),"")</f>
        <v/>
      </c>
      <c r="AD32" s="218" t="str">
        <f t="shared" si="8"/>
        <v/>
      </c>
      <c r="AE32" s="205"/>
      <c r="AF32" s="198"/>
      <c r="AG32" s="204"/>
      <c r="AH32" s="204"/>
      <c r="AI32" s="200">
        <f t="shared" si="16"/>
        <v>0</v>
      </c>
      <c r="AJ32" s="200" t="str" cm="1">
        <f t="array" ref="AJ32">IF($AF$3&gt;"00",IF(AI32&lt;&gt;0,INDEX($G$2:$H$223,AI32-1,2),""),"")</f>
        <v/>
      </c>
      <c r="AK32" s="209" t="str">
        <f t="shared" si="11"/>
        <v/>
      </c>
      <c r="AL32" s="216"/>
      <c r="AM32" s="207"/>
      <c r="AN32" s="215"/>
      <c r="AO32" s="215"/>
      <c r="AP32" s="211">
        <f t="shared" si="17"/>
        <v>0</v>
      </c>
      <c r="AQ32" s="211" t="str" cm="1">
        <f t="array" ref="AQ32">IF($AM$3&gt;"00",IF(AP32&lt;&gt;0,INDEX($G$2:$H$223,AP32-1,2),""),"")</f>
        <v/>
      </c>
    </row>
    <row r="33" spans="1:43" x14ac:dyDescent="0.2">
      <c r="A33" s="133" t="s">
        <v>39</v>
      </c>
      <c r="B33" s="133" t="s">
        <v>36</v>
      </c>
      <c r="C33" s="133" t="s">
        <v>288</v>
      </c>
      <c r="D33" s="133" t="s">
        <v>357</v>
      </c>
      <c r="E33" s="133" t="s">
        <v>357</v>
      </c>
      <c r="F33" s="135" t="str">
        <f t="shared" si="0"/>
        <v>0401110000</v>
      </c>
      <c r="G33" s="134" t="s">
        <v>381</v>
      </c>
      <c r="H33" s="11" t="str">
        <f t="shared" si="3"/>
        <v>TAXAS S/ GEOLOGIA E MINAS - R0401110000</v>
      </c>
      <c r="I33" s="169" t="str">
        <f t="shared" si="4"/>
        <v/>
      </c>
      <c r="J33" s="171"/>
      <c r="K33" s="169"/>
      <c r="L33" s="170"/>
      <c r="M33" s="170"/>
      <c r="N33" s="170">
        <f t="shared" si="5"/>
        <v>0</v>
      </c>
      <c r="O33" s="170" t="str" cm="1">
        <f t="array" ref="O33">IF($K$3&gt;"00",IF(N33&lt;&gt;0,INDEX($G$2:$H$223,N33-1,2),""),"")</f>
        <v/>
      </c>
      <c r="P33" s="177" t="str">
        <f t="shared" si="6"/>
        <v/>
      </c>
      <c r="Q33" s="195"/>
      <c r="R33" s="175"/>
      <c r="S33" s="180"/>
      <c r="T33" s="193"/>
      <c r="U33" s="178">
        <f t="shared" si="14"/>
        <v>0</v>
      </c>
      <c r="V33" s="178" t="str" cm="1">
        <f t="array" ref="V33">IF($R$3&gt;"00",IF(U33&lt;&gt;0,INDEX($G$2:$H$223,U33-1,2),""),"")</f>
        <v/>
      </c>
      <c r="W33" s="183" t="str">
        <f t="shared" si="7"/>
        <v/>
      </c>
      <c r="X33" s="187"/>
      <c r="Y33" s="181"/>
      <c r="Z33" s="186"/>
      <c r="AA33" s="186"/>
      <c r="AB33" s="184">
        <f t="shared" si="15"/>
        <v>0</v>
      </c>
      <c r="AC33" s="184" t="str" cm="1">
        <f t="array" ref="AC33">IF($Y$3&gt;"00",IF(AB33&lt;&gt;0,INDEX($G$2:$H$223,AB33-1,2),""),"")</f>
        <v/>
      </c>
      <c r="AD33" s="218" t="str">
        <f t="shared" si="8"/>
        <v/>
      </c>
      <c r="AE33" s="205"/>
      <c r="AF33" s="198"/>
      <c r="AG33" s="204"/>
      <c r="AH33" s="204"/>
      <c r="AI33" s="200">
        <f t="shared" si="16"/>
        <v>0</v>
      </c>
      <c r="AJ33" s="200" t="str" cm="1">
        <f t="array" ref="AJ33">IF($AF$3&gt;"00",IF(AI33&lt;&gt;0,INDEX($G$2:$H$223,AI33-1,2),""),"")</f>
        <v/>
      </c>
      <c r="AK33" s="209" t="str">
        <f t="shared" si="11"/>
        <v/>
      </c>
      <c r="AL33" s="216"/>
      <c r="AM33" s="207"/>
      <c r="AN33" s="215"/>
      <c r="AO33" s="215"/>
      <c r="AP33" s="211">
        <f t="shared" si="17"/>
        <v>0</v>
      </c>
      <c r="AQ33" s="211" t="str" cm="1">
        <f t="array" ref="AQ33">IF($AM$3&gt;"00",IF(AP33&lt;&gt;0,INDEX($G$2:$H$223,AP33-1,2),""),"")</f>
        <v/>
      </c>
    </row>
    <row r="34" spans="1:43" x14ac:dyDescent="0.2">
      <c r="A34" s="133" t="s">
        <v>39</v>
      </c>
      <c r="B34" s="133" t="s">
        <v>36</v>
      </c>
      <c r="C34" s="133" t="s">
        <v>290</v>
      </c>
      <c r="D34" s="133" t="s">
        <v>357</v>
      </c>
      <c r="E34" s="133" t="s">
        <v>357</v>
      </c>
      <c r="F34" s="135" t="str">
        <f t="shared" si="0"/>
        <v>0401120000</v>
      </c>
      <c r="G34" s="134" t="s">
        <v>411</v>
      </c>
      <c r="H34" s="11" t="str">
        <f t="shared" si="3"/>
        <v>TAXAS S/ COMERCIALIZAÇÃO E ABATE DE GADO - R0401120000</v>
      </c>
      <c r="I34" s="169" t="str">
        <f t="shared" si="4"/>
        <v/>
      </c>
      <c r="J34" s="172"/>
      <c r="K34" s="169"/>
      <c r="L34" s="170"/>
      <c r="M34" s="170"/>
      <c r="N34" s="170">
        <f t="shared" si="5"/>
        <v>0</v>
      </c>
      <c r="O34" s="170" t="str" cm="1">
        <f t="array" ref="O34">IF($K$3&gt;"00",IF(N34&lt;&gt;0,INDEX($G$2:$H$223,N34-1,2),""),"")</f>
        <v/>
      </c>
      <c r="P34" s="177" t="str">
        <f t="shared" si="6"/>
        <v/>
      </c>
      <c r="Q34" s="197"/>
      <c r="R34" s="175"/>
      <c r="S34" s="180"/>
      <c r="T34" s="193"/>
      <c r="U34" s="178">
        <f t="shared" si="14"/>
        <v>0</v>
      </c>
      <c r="V34" s="178" t="str" cm="1">
        <f t="array" ref="V34">IF($R$3&gt;"00",IF(U34&lt;&gt;0,INDEX($G$2:$H$223,U34-1,2),""),"")</f>
        <v/>
      </c>
      <c r="W34" s="183" t="str">
        <f t="shared" si="7"/>
        <v/>
      </c>
      <c r="X34" s="186"/>
      <c r="Y34" s="181"/>
      <c r="Z34" s="186"/>
      <c r="AA34" s="186"/>
      <c r="AB34" s="184">
        <f t="shared" si="15"/>
        <v>0</v>
      </c>
      <c r="AC34" s="184" t="str" cm="1">
        <f t="array" ref="AC34">IF($Y$3&gt;"00",IF(AB34&lt;&gt;0,INDEX($G$2:$H$223,AB34-1,2),""),"")</f>
        <v/>
      </c>
      <c r="AD34" s="218" t="str">
        <f t="shared" si="8"/>
        <v/>
      </c>
      <c r="AE34" s="204"/>
      <c r="AF34" s="198"/>
      <c r="AG34" s="204"/>
      <c r="AH34" s="204"/>
      <c r="AI34" s="200">
        <f t="shared" si="16"/>
        <v>0</v>
      </c>
      <c r="AJ34" s="200" t="str" cm="1">
        <f t="array" ref="AJ34">IF($AF$3&gt;"00",IF(AI34&lt;&gt;0,INDEX($G$2:$H$223,AI34-1,2),""),"")</f>
        <v/>
      </c>
      <c r="AK34" s="209" t="str">
        <f t="shared" si="11"/>
        <v/>
      </c>
      <c r="AL34" s="215"/>
      <c r="AM34" s="207"/>
      <c r="AN34" s="215"/>
      <c r="AO34" s="215"/>
      <c r="AP34" s="211">
        <f t="shared" si="17"/>
        <v>0</v>
      </c>
      <c r="AQ34" s="211" t="str" cm="1">
        <f t="array" ref="AQ34">IF($AM$3&gt;"00",IF(AP34&lt;&gt;0,INDEX($G$2:$H$223,AP34-1,2),""),"")</f>
        <v/>
      </c>
    </row>
    <row r="35" spans="1:43" x14ac:dyDescent="0.2">
      <c r="A35" s="133" t="s">
        <v>39</v>
      </c>
      <c r="B35" s="133" t="s">
        <v>36</v>
      </c>
      <c r="C35" s="133" t="s">
        <v>291</v>
      </c>
      <c r="D35" s="133" t="s">
        <v>357</v>
      </c>
      <c r="E35" s="133" t="s">
        <v>357</v>
      </c>
      <c r="F35" s="135" t="str">
        <f t="shared" si="0"/>
        <v>0401130000</v>
      </c>
      <c r="G35" s="134" t="s">
        <v>379</v>
      </c>
      <c r="H35" s="11" t="str">
        <f t="shared" si="3"/>
        <v>TAXAS DE PORTOS - R0401130000</v>
      </c>
      <c r="I35" s="169" t="str">
        <f t="shared" si="4"/>
        <v/>
      </c>
      <c r="J35" s="172"/>
      <c r="K35" s="169"/>
      <c r="L35" s="170"/>
      <c r="M35" s="170"/>
      <c r="N35" s="170">
        <f t="shared" si="5"/>
        <v>0</v>
      </c>
      <c r="O35" s="170" t="str" cm="1">
        <f t="array" ref="O35">IF($K$3&gt;"00",IF(N35&lt;&gt;0,INDEX($G$2:$H$223,N35-1,2),""),"")</f>
        <v/>
      </c>
      <c r="P35" s="177" t="str">
        <f t="shared" si="6"/>
        <v/>
      </c>
      <c r="Q35" s="197"/>
      <c r="R35" s="175"/>
      <c r="S35" s="180"/>
      <c r="T35" s="193"/>
      <c r="U35" s="178">
        <f t="shared" si="14"/>
        <v>0</v>
      </c>
      <c r="V35" s="178" t="str" cm="1">
        <f t="array" ref="V35">IF($R$3&gt;"00",IF(U35&lt;&gt;0,INDEX($G$2:$H$223,U35-1,2),""),"")</f>
        <v/>
      </c>
      <c r="W35" s="183" t="str">
        <f t="shared" si="7"/>
        <v/>
      </c>
      <c r="X35" s="186"/>
      <c r="Y35" s="181"/>
      <c r="Z35" s="186"/>
      <c r="AA35" s="186"/>
      <c r="AB35" s="184">
        <f t="shared" si="15"/>
        <v>0</v>
      </c>
      <c r="AC35" s="184" t="str" cm="1">
        <f t="array" ref="AC35">IF($Y$3&gt;"00",IF(AB35&lt;&gt;0,INDEX($G$2:$H$223,AB35-1,2),""),"")</f>
        <v/>
      </c>
      <c r="AD35" s="218" t="str">
        <f t="shared" si="8"/>
        <v/>
      </c>
      <c r="AE35" s="204"/>
      <c r="AF35" s="198"/>
      <c r="AG35" s="204"/>
      <c r="AH35" s="204"/>
      <c r="AI35" s="200">
        <f t="shared" si="16"/>
        <v>0</v>
      </c>
      <c r="AJ35" s="200" t="str" cm="1">
        <f t="array" ref="AJ35">IF($AF$3&gt;"00",IF(AI35&lt;&gt;0,INDEX($G$2:$H$223,AI35-1,2),""),"")</f>
        <v/>
      </c>
      <c r="AK35" s="209" t="str">
        <f t="shared" si="11"/>
        <v/>
      </c>
      <c r="AL35" s="215"/>
      <c r="AM35" s="207"/>
      <c r="AN35" s="215"/>
      <c r="AO35" s="215"/>
      <c r="AP35" s="211">
        <f t="shared" si="17"/>
        <v>0</v>
      </c>
      <c r="AQ35" s="211" t="str" cm="1">
        <f t="array" ref="AQ35">IF($AM$3&gt;"00",IF(AP35&lt;&gt;0,INDEX($G$2:$H$223,AP35-1,2),""),"")</f>
        <v/>
      </c>
    </row>
    <row r="36" spans="1:43" x14ac:dyDescent="0.2">
      <c r="A36" s="133" t="s">
        <v>39</v>
      </c>
      <c r="B36" s="133" t="s">
        <v>36</v>
      </c>
      <c r="C36" s="133" t="s">
        <v>413</v>
      </c>
      <c r="D36" s="133" t="s">
        <v>357</v>
      </c>
      <c r="E36" s="133" t="s">
        <v>357</v>
      </c>
      <c r="F36" s="135" t="str">
        <f t="shared" si="0"/>
        <v>0401140000</v>
      </c>
      <c r="G36" s="134" t="s">
        <v>414</v>
      </c>
      <c r="H36" s="11" t="str">
        <f t="shared" si="3"/>
        <v>TAXAS S/ OPERAÇÕES DE BOLSA - R0401140000</v>
      </c>
      <c r="I36" s="169" t="str">
        <f t="shared" si="4"/>
        <v/>
      </c>
      <c r="J36" s="172"/>
      <c r="K36" s="169"/>
      <c r="L36" s="170"/>
      <c r="M36" s="170"/>
      <c r="N36" s="170">
        <f t="shared" si="5"/>
        <v>0</v>
      </c>
      <c r="O36" s="170" t="str" cm="1">
        <f t="array" ref="O36">IF($K$3&gt;"00",IF(N36&lt;&gt;0,INDEX($G$2:$H$223,N36-1,2),""),"")</f>
        <v/>
      </c>
      <c r="P36" s="177" t="str">
        <f t="shared" si="6"/>
        <v/>
      </c>
      <c r="Q36" s="197"/>
      <c r="R36" s="175"/>
      <c r="S36" s="180"/>
      <c r="T36" s="193"/>
      <c r="U36" s="178">
        <f t="shared" si="14"/>
        <v>0</v>
      </c>
      <c r="V36" s="178" t="str" cm="1">
        <f t="array" ref="V36">IF($R$3&gt;"00",IF(U36&lt;&gt;0,INDEX($G$2:$H$223,U36-1,2),""),"")</f>
        <v/>
      </c>
      <c r="W36" s="183" t="str">
        <f t="shared" si="7"/>
        <v/>
      </c>
      <c r="X36" s="186"/>
      <c r="Y36" s="181"/>
      <c r="Z36" s="186"/>
      <c r="AA36" s="186"/>
      <c r="AB36" s="184">
        <f t="shared" si="15"/>
        <v>0</v>
      </c>
      <c r="AC36" s="184" t="str" cm="1">
        <f t="array" ref="AC36">IF($Y$3&gt;"00",IF(AB36&lt;&gt;0,INDEX($G$2:$H$223,AB36-1,2),""),"")</f>
        <v/>
      </c>
      <c r="AD36" s="218" t="str">
        <f t="shared" si="8"/>
        <v/>
      </c>
      <c r="AE36" s="204"/>
      <c r="AF36" s="198"/>
      <c r="AG36" s="204"/>
      <c r="AH36" s="204"/>
      <c r="AI36" s="200">
        <f t="shared" si="16"/>
        <v>0</v>
      </c>
      <c r="AJ36" s="200" t="str" cm="1">
        <f t="array" ref="AJ36">IF($AF$3&gt;"00",IF(AI36&lt;&gt;0,INDEX($G$2:$H$223,AI36-1,2),""),"")</f>
        <v/>
      </c>
      <c r="AK36" s="209" t="str">
        <f t="shared" si="11"/>
        <v/>
      </c>
      <c r="AL36" s="215"/>
      <c r="AM36" s="207"/>
      <c r="AN36" s="215"/>
      <c r="AO36" s="215"/>
      <c r="AP36" s="211">
        <f t="shared" si="17"/>
        <v>0</v>
      </c>
      <c r="AQ36" s="211" t="str" cm="1">
        <f t="array" ref="AQ36">IF($AM$3&gt;"00",IF(AP36&lt;&gt;0,INDEX($G$2:$H$223,AP36-1,2),""),"")</f>
        <v/>
      </c>
    </row>
    <row r="37" spans="1:43" x14ac:dyDescent="0.2">
      <c r="A37" s="133" t="s">
        <v>39</v>
      </c>
      <c r="B37" s="133" t="s">
        <v>36</v>
      </c>
      <c r="C37" s="133" t="s">
        <v>383</v>
      </c>
      <c r="D37" s="133" t="s">
        <v>357</v>
      </c>
      <c r="E37" s="133" t="s">
        <v>357</v>
      </c>
      <c r="F37" s="135" t="str">
        <f t="shared" si="0"/>
        <v>0401150000</v>
      </c>
      <c r="G37" s="134" t="s">
        <v>384</v>
      </c>
      <c r="H37" s="11" t="str">
        <f t="shared" si="3"/>
        <v>TAXAS S/ CONTROLO METROLÓGICO E DE QUALIDADE - R0401150000</v>
      </c>
      <c r="I37" s="169" t="str">
        <f t="shared" si="4"/>
        <v/>
      </c>
      <c r="J37" s="172"/>
      <c r="K37" s="169"/>
      <c r="L37" s="170"/>
      <c r="M37" s="170"/>
      <c r="N37" s="170">
        <f t="shared" si="5"/>
        <v>0</v>
      </c>
      <c r="O37" s="170" t="str" cm="1">
        <f t="array" ref="O37">IF($K$3&gt;"00",IF(N37&lt;&gt;0,INDEX($G$2:$H$223,N37-1,2),""),"")</f>
        <v/>
      </c>
      <c r="P37" s="177" t="str">
        <f t="shared" si="6"/>
        <v/>
      </c>
      <c r="Q37" s="197"/>
      <c r="R37" s="175"/>
      <c r="S37" s="180"/>
      <c r="T37" s="193"/>
      <c r="U37" s="178">
        <f t="shared" si="14"/>
        <v>0</v>
      </c>
      <c r="V37" s="178" t="str" cm="1">
        <f t="array" ref="V37">IF($R$3&gt;"00",IF(U37&lt;&gt;0,INDEX($G$2:$H$223,U37-1,2),""),"")</f>
        <v/>
      </c>
      <c r="W37" s="183" t="str">
        <f t="shared" si="7"/>
        <v/>
      </c>
      <c r="X37" s="186"/>
      <c r="Y37" s="181"/>
      <c r="Z37" s="186"/>
      <c r="AA37" s="186"/>
      <c r="AB37" s="184">
        <f t="shared" si="15"/>
        <v>0</v>
      </c>
      <c r="AC37" s="184" t="str" cm="1">
        <f t="array" ref="AC37">IF($Y$3&gt;"00",IF(AB37&lt;&gt;0,INDEX($G$2:$H$223,AB37-1,2),""),"")</f>
        <v/>
      </c>
      <c r="AD37" s="218" t="str">
        <f t="shared" si="8"/>
        <v/>
      </c>
      <c r="AE37" s="204"/>
      <c r="AF37" s="198"/>
      <c r="AG37" s="204"/>
      <c r="AH37" s="204"/>
      <c r="AI37" s="200">
        <f t="shared" si="16"/>
        <v>0</v>
      </c>
      <c r="AJ37" s="200" t="str" cm="1">
        <f t="array" ref="AJ37">IF($AF$3&gt;"00",IF(AI37&lt;&gt;0,INDEX($G$2:$H$223,AI37-1,2),""),"")</f>
        <v/>
      </c>
      <c r="AK37" s="209" t="str">
        <f t="shared" si="11"/>
        <v/>
      </c>
      <c r="AL37" s="215"/>
      <c r="AM37" s="207"/>
      <c r="AN37" s="215"/>
      <c r="AO37" s="215"/>
      <c r="AP37" s="211">
        <f t="shared" si="17"/>
        <v>0</v>
      </c>
      <c r="AQ37" s="211" t="str" cm="1">
        <f t="array" ref="AQ37">IF($AM$3&gt;"00",IF(AP37&lt;&gt;0,INDEX($G$2:$H$223,AP37-1,2),""),"")</f>
        <v/>
      </c>
    </row>
    <row r="38" spans="1:43" x14ac:dyDescent="0.2">
      <c r="A38" s="133" t="s">
        <v>39</v>
      </c>
      <c r="B38" s="133" t="s">
        <v>36</v>
      </c>
      <c r="C38" s="133" t="s">
        <v>415</v>
      </c>
      <c r="D38" s="133" t="s">
        <v>357</v>
      </c>
      <c r="E38" s="133" t="s">
        <v>357</v>
      </c>
      <c r="F38" s="135" t="str">
        <f t="shared" si="0"/>
        <v>0401160000</v>
      </c>
      <c r="G38" s="134" t="s">
        <v>416</v>
      </c>
      <c r="H38" s="11" t="str">
        <f t="shared" si="3"/>
        <v>TAXAS S/ FISCALIZAÇÃO DE ACTIV. COMERCIAIS E INDUSTRIAIS - R0401160000</v>
      </c>
      <c r="I38" s="169" t="str">
        <f t="shared" si="4"/>
        <v/>
      </c>
      <c r="J38" s="172"/>
      <c r="K38" s="169"/>
      <c r="L38" s="170"/>
      <c r="M38" s="170"/>
      <c r="N38" s="170">
        <f t="shared" si="5"/>
        <v>0</v>
      </c>
      <c r="O38" s="170" t="str" cm="1">
        <f t="array" ref="O38">IF($K$3&gt;"00",IF(N38&lt;&gt;0,INDEX($G$2:$H$223,N38-1,2),""),"")</f>
        <v/>
      </c>
      <c r="P38" s="177" t="str">
        <f t="shared" si="6"/>
        <v/>
      </c>
      <c r="Q38" s="197"/>
      <c r="R38" s="175"/>
      <c r="S38" s="180"/>
      <c r="T38" s="193"/>
      <c r="U38" s="178">
        <f t="shared" si="14"/>
        <v>0</v>
      </c>
      <c r="V38" s="178" t="str" cm="1">
        <f t="array" ref="V38">IF($R$3&gt;"00",IF(U38&lt;&gt;0,INDEX($G$2:$H$223,U38-1,2),""),"")</f>
        <v/>
      </c>
      <c r="W38" s="183" t="str">
        <f t="shared" si="7"/>
        <v/>
      </c>
      <c r="X38" s="186"/>
      <c r="Y38" s="181"/>
      <c r="Z38" s="186"/>
      <c r="AA38" s="186"/>
      <c r="AB38" s="184">
        <f t="shared" si="15"/>
        <v>0</v>
      </c>
      <c r="AC38" s="184" t="str" cm="1">
        <f t="array" ref="AC38">IF($Y$3&gt;"00",IF(AB38&lt;&gt;0,INDEX($G$2:$H$223,AB38-1,2),""),"")</f>
        <v/>
      </c>
      <c r="AD38" s="218" t="str">
        <f t="shared" si="8"/>
        <v/>
      </c>
      <c r="AE38" s="204"/>
      <c r="AF38" s="198"/>
      <c r="AG38" s="204"/>
      <c r="AH38" s="204"/>
      <c r="AI38" s="200">
        <f t="shared" si="16"/>
        <v>0</v>
      </c>
      <c r="AJ38" s="200" t="str" cm="1">
        <f t="array" ref="AJ38">IF($AF$3&gt;"00",IF(AI38&lt;&gt;0,INDEX($G$2:$H$223,AI38-1,2),""),"")</f>
        <v/>
      </c>
      <c r="AK38" s="209" t="str">
        <f t="shared" si="11"/>
        <v/>
      </c>
      <c r="AL38" s="215"/>
      <c r="AM38" s="207"/>
      <c r="AN38" s="215"/>
      <c r="AO38" s="215"/>
      <c r="AP38" s="211">
        <f t="shared" si="17"/>
        <v>0</v>
      </c>
      <c r="AQ38" s="211" t="str" cm="1">
        <f t="array" ref="AQ38">IF($AM$3&gt;"00",IF(AP38&lt;&gt;0,INDEX($G$2:$H$223,AP38-1,2),""),"")</f>
        <v/>
      </c>
    </row>
    <row r="39" spans="1:43" x14ac:dyDescent="0.2">
      <c r="A39" s="133" t="s">
        <v>39</v>
      </c>
      <c r="B39" s="133" t="s">
        <v>36</v>
      </c>
      <c r="C39" s="133" t="s">
        <v>330</v>
      </c>
      <c r="D39" s="133" t="s">
        <v>357</v>
      </c>
      <c r="E39" s="133" t="s">
        <v>357</v>
      </c>
      <c r="F39" s="135" t="str">
        <f t="shared" si="0"/>
        <v>0401170000</v>
      </c>
      <c r="G39" s="134" t="s">
        <v>380</v>
      </c>
      <c r="H39" s="11" t="str">
        <f t="shared" si="3"/>
        <v>TAXAS S/ LICENCIAMENTOS DIV. CONCEDIDOS A EMPRESAS - R0401170000</v>
      </c>
      <c r="I39" s="169" t="str">
        <f t="shared" si="4"/>
        <v/>
      </c>
      <c r="J39" s="172"/>
      <c r="K39" s="169"/>
      <c r="L39" s="170"/>
      <c r="M39" s="170"/>
      <c r="N39" s="170">
        <f t="shared" si="5"/>
        <v>0</v>
      </c>
      <c r="O39" s="170" t="str" cm="1">
        <f t="array" ref="O39">IF($K$3&gt;"00",IF(N39&lt;&gt;0,INDEX($G$2:$H$223,N39-1,2),""),"")</f>
        <v/>
      </c>
      <c r="P39" s="177" t="str">
        <f t="shared" si="6"/>
        <v/>
      </c>
      <c r="Q39" s="197"/>
      <c r="R39" s="175"/>
      <c r="S39" s="180"/>
      <c r="T39" s="193"/>
      <c r="U39" s="178">
        <f t="shared" si="14"/>
        <v>0</v>
      </c>
      <c r="V39" s="178" t="str" cm="1">
        <f t="array" ref="V39">IF($R$3&gt;"00",IF(U39&lt;&gt;0,INDEX($G$2:$H$223,U39-1,2),""),"")</f>
        <v/>
      </c>
      <c r="W39" s="183" t="str">
        <f t="shared" si="7"/>
        <v/>
      </c>
      <c r="X39" s="186"/>
      <c r="Y39" s="181"/>
      <c r="Z39" s="186"/>
      <c r="AA39" s="186"/>
      <c r="AB39" s="184">
        <f t="shared" si="15"/>
        <v>0</v>
      </c>
      <c r="AC39" s="184" t="str" cm="1">
        <f t="array" ref="AC39">IF($Y$3&gt;"00",IF(AB39&lt;&gt;0,INDEX($G$2:$H$223,AB39-1,2),""),"")</f>
        <v/>
      </c>
      <c r="AD39" s="218" t="str">
        <f t="shared" si="8"/>
        <v/>
      </c>
      <c r="AE39" s="204"/>
      <c r="AF39" s="198"/>
      <c r="AG39" s="204"/>
      <c r="AH39" s="204"/>
      <c r="AI39" s="200">
        <f t="shared" si="16"/>
        <v>0</v>
      </c>
      <c r="AJ39" s="200" t="str" cm="1">
        <f t="array" ref="AJ39">IF($AF$3&gt;"00",IF(AI39&lt;&gt;0,INDEX($G$2:$H$223,AI39-1,2),""),"")</f>
        <v/>
      </c>
      <c r="AK39" s="209" t="str">
        <f t="shared" si="11"/>
        <v/>
      </c>
      <c r="AL39" s="215"/>
      <c r="AM39" s="207"/>
      <c r="AN39" s="215"/>
      <c r="AO39" s="215"/>
      <c r="AP39" s="211">
        <f t="shared" si="17"/>
        <v>0</v>
      </c>
      <c r="AQ39" s="211" t="str" cm="1">
        <f t="array" ref="AQ39">IF($AM$3&gt;"00",IF(AP39&lt;&gt;0,INDEX($G$2:$H$223,AP39-1,2),""),"")</f>
        <v/>
      </c>
    </row>
    <row r="40" spans="1:43" x14ac:dyDescent="0.2">
      <c r="A40" s="133" t="s">
        <v>39</v>
      </c>
      <c r="B40" s="133" t="s">
        <v>36</v>
      </c>
      <c r="C40" s="133" t="s">
        <v>393</v>
      </c>
      <c r="D40" s="133" t="s">
        <v>357</v>
      </c>
      <c r="E40" s="133" t="s">
        <v>357</v>
      </c>
      <c r="F40" s="135" t="str">
        <f t="shared" si="0"/>
        <v>0401180000</v>
      </c>
      <c r="G40" s="134" t="s">
        <v>394</v>
      </c>
      <c r="H40" s="11" t="str">
        <f t="shared" si="3"/>
        <v>TAXAS S/ VALOR DE ADJUDICAÇÃO DE OBRAS PUBLICAS - R0401180000</v>
      </c>
      <c r="I40" s="169" t="str">
        <f t="shared" si="4"/>
        <v/>
      </c>
      <c r="J40" s="172"/>
      <c r="K40" s="169"/>
      <c r="L40" s="170"/>
      <c r="M40" s="170"/>
      <c r="N40" s="170">
        <f t="shared" si="5"/>
        <v>0</v>
      </c>
      <c r="O40" s="170" t="str" cm="1">
        <f t="array" ref="O40">IF($K$3&gt;"00",IF(N40&lt;&gt;0,INDEX($G$2:$H$223,N40-1,2),""),"")</f>
        <v/>
      </c>
      <c r="P40" s="177" t="str">
        <f t="shared" si="6"/>
        <v/>
      </c>
      <c r="Q40" s="197"/>
      <c r="R40" s="175"/>
      <c r="S40" s="180"/>
      <c r="T40" s="193"/>
      <c r="U40" s="178">
        <f t="shared" si="14"/>
        <v>0</v>
      </c>
      <c r="V40" s="178" t="str" cm="1">
        <f t="array" ref="V40">IF($R$3&gt;"00",IF(U40&lt;&gt;0,INDEX($G$2:$H$223,U40-1,2),""),"")</f>
        <v/>
      </c>
      <c r="W40" s="183" t="str">
        <f t="shared" si="7"/>
        <v/>
      </c>
      <c r="X40" s="186"/>
      <c r="Y40" s="181"/>
      <c r="Z40" s="186"/>
      <c r="AA40" s="186"/>
      <c r="AB40" s="184">
        <f t="shared" si="15"/>
        <v>0</v>
      </c>
      <c r="AC40" s="184" t="str" cm="1">
        <f t="array" ref="AC40">IF($Y$3&gt;"00",IF(AB40&lt;&gt;0,INDEX($G$2:$H$223,AB40-1,2),""),"")</f>
        <v/>
      </c>
      <c r="AD40" s="218" t="str">
        <f t="shared" si="8"/>
        <v/>
      </c>
      <c r="AE40" s="204"/>
      <c r="AF40" s="198"/>
      <c r="AG40" s="204"/>
      <c r="AH40" s="204"/>
      <c r="AI40" s="200">
        <f t="shared" si="16"/>
        <v>0</v>
      </c>
      <c r="AJ40" s="200" t="str" cm="1">
        <f t="array" ref="AJ40">IF($AF$3&gt;"00",IF(AI40&lt;&gt;0,INDEX($G$2:$H$223,AI40-1,2),""),"")</f>
        <v/>
      </c>
      <c r="AK40" s="209" t="str">
        <f t="shared" si="11"/>
        <v/>
      </c>
      <c r="AL40" s="215"/>
      <c r="AM40" s="207"/>
      <c r="AN40" s="215"/>
      <c r="AO40" s="215"/>
      <c r="AP40" s="211">
        <f t="shared" si="17"/>
        <v>0</v>
      </c>
      <c r="AQ40" s="211" t="str" cm="1">
        <f t="array" ref="AQ40">IF($AM$3&gt;"00",IF(AP40&lt;&gt;0,INDEX($G$2:$H$223,AP40-1,2),""),"")</f>
        <v/>
      </c>
    </row>
    <row r="41" spans="1:43" x14ac:dyDescent="0.2">
      <c r="A41" s="133" t="s">
        <v>39</v>
      </c>
      <c r="B41" s="133" t="s">
        <v>36</v>
      </c>
      <c r="C41" s="133" t="s">
        <v>400</v>
      </c>
      <c r="D41" s="133" t="s">
        <v>357</v>
      </c>
      <c r="E41" s="133" t="s">
        <v>357</v>
      </c>
      <c r="F41" s="135" t="str">
        <f t="shared" si="0"/>
        <v>0401190000</v>
      </c>
      <c r="G41" s="134" t="s">
        <v>401</v>
      </c>
      <c r="H41" s="11" t="str">
        <f t="shared" si="3"/>
        <v>ADICIONAIS - R0401190000</v>
      </c>
      <c r="I41" s="169" t="str">
        <f t="shared" si="4"/>
        <v/>
      </c>
      <c r="J41" s="172"/>
      <c r="K41" s="169"/>
      <c r="L41" s="170"/>
      <c r="M41" s="170"/>
      <c r="N41" s="170">
        <f t="shared" si="5"/>
        <v>0</v>
      </c>
      <c r="O41" s="170" t="str" cm="1">
        <f t="array" ref="O41">IF($K$3&gt;"00",IF(N41&lt;&gt;0,INDEX($G$2:$H$223,N41-1,2),""),"")</f>
        <v/>
      </c>
      <c r="P41" s="177" t="str">
        <f t="shared" si="6"/>
        <v/>
      </c>
      <c r="Q41" s="197"/>
      <c r="R41" s="175"/>
      <c r="S41" s="180"/>
      <c r="T41" s="193"/>
      <c r="U41" s="178">
        <f t="shared" si="14"/>
        <v>0</v>
      </c>
      <c r="V41" s="178" t="str" cm="1">
        <f t="array" ref="V41">IF($R$3&gt;"00",IF(U41&lt;&gt;0,INDEX($G$2:$H$223,U41-1,2),""),"")</f>
        <v/>
      </c>
      <c r="W41" s="183" t="str">
        <f t="shared" si="7"/>
        <v/>
      </c>
      <c r="X41" s="186"/>
      <c r="Y41" s="181"/>
      <c r="Z41" s="186"/>
      <c r="AA41" s="186"/>
      <c r="AB41" s="184">
        <f t="shared" si="15"/>
        <v>0</v>
      </c>
      <c r="AC41" s="184" t="str" cm="1">
        <f t="array" ref="AC41">IF($Y$3&gt;"00",IF(AB41&lt;&gt;0,INDEX($G$2:$H$223,AB41-1,2),""),"")</f>
        <v/>
      </c>
      <c r="AD41" s="218" t="str">
        <f t="shared" si="8"/>
        <v/>
      </c>
      <c r="AE41" s="204"/>
      <c r="AF41" s="198"/>
      <c r="AG41" s="204"/>
      <c r="AH41" s="204"/>
      <c r="AI41" s="200">
        <f t="shared" si="16"/>
        <v>0</v>
      </c>
      <c r="AJ41" s="200" t="str" cm="1">
        <f t="array" ref="AJ41">IF($AF$3&gt;"00",IF(AI41&lt;&gt;0,INDEX($G$2:$H$223,AI41-1,2),""),"")</f>
        <v/>
      </c>
      <c r="AK41" s="209" t="str">
        <f t="shared" si="11"/>
        <v/>
      </c>
      <c r="AL41" s="215"/>
      <c r="AM41" s="207"/>
      <c r="AN41" s="215"/>
      <c r="AO41" s="215"/>
      <c r="AP41" s="211">
        <f t="shared" si="17"/>
        <v>0</v>
      </c>
      <c r="AQ41" s="211" t="str" cm="1">
        <f t="array" ref="AQ41">IF($AM$3&gt;"00",IF(AP41&lt;&gt;0,INDEX($G$2:$H$223,AP41-1,2),""),"")</f>
        <v/>
      </c>
    </row>
    <row r="42" spans="1:43" x14ac:dyDescent="0.2">
      <c r="A42" s="133" t="s">
        <v>39</v>
      </c>
      <c r="B42" s="133" t="s">
        <v>36</v>
      </c>
      <c r="C42" s="133" t="s">
        <v>404</v>
      </c>
      <c r="D42" s="133" t="s">
        <v>357</v>
      </c>
      <c r="E42" s="133" t="s">
        <v>357</v>
      </c>
      <c r="F42" s="135" t="str">
        <f t="shared" si="0"/>
        <v>0401200000</v>
      </c>
      <c r="G42" s="134" t="s">
        <v>405</v>
      </c>
      <c r="H42" s="11" t="str">
        <f t="shared" si="3"/>
        <v>EMOLUMENTOS CONSULARES - R0401200000</v>
      </c>
      <c r="I42" s="169" t="str">
        <f t="shared" si="4"/>
        <v/>
      </c>
      <c r="J42" s="172"/>
      <c r="K42" s="169"/>
      <c r="L42" s="170"/>
      <c r="M42" s="170"/>
      <c r="N42" s="170">
        <f t="shared" si="5"/>
        <v>0</v>
      </c>
      <c r="O42" s="170" t="str" cm="1">
        <f t="array" ref="O42">IF($K$3&gt;"00",IF(N42&lt;&gt;0,INDEX($G$2:$H$223,N42-1,2),""),"")</f>
        <v/>
      </c>
      <c r="P42" s="177" t="str">
        <f t="shared" si="6"/>
        <v/>
      </c>
      <c r="Q42" s="197"/>
      <c r="R42" s="175"/>
      <c r="S42" s="180"/>
      <c r="T42" s="193"/>
      <c r="U42" s="178">
        <f t="shared" si="14"/>
        <v>0</v>
      </c>
      <c r="V42" s="178" t="str" cm="1">
        <f t="array" ref="V42">IF($R$3&gt;"00",IF(U42&lt;&gt;0,INDEX($G$2:$H$223,U42-1,2),""),"")</f>
        <v/>
      </c>
      <c r="W42" s="183" t="str">
        <f t="shared" si="7"/>
        <v/>
      </c>
      <c r="X42" s="186"/>
      <c r="Y42" s="181"/>
      <c r="Z42" s="186"/>
      <c r="AA42" s="186"/>
      <c r="AB42" s="184">
        <f t="shared" si="15"/>
        <v>0</v>
      </c>
      <c r="AC42" s="184" t="str" cm="1">
        <f t="array" ref="AC42">IF($Y$3&gt;"00",IF(AB42&lt;&gt;0,INDEX($G$2:$H$223,AB42-1,2),""),"")</f>
        <v/>
      </c>
      <c r="AD42" s="218" t="str">
        <f t="shared" si="8"/>
        <v/>
      </c>
      <c r="AE42" s="204"/>
      <c r="AF42" s="198"/>
      <c r="AG42" s="204"/>
      <c r="AH42" s="204"/>
      <c r="AI42" s="200">
        <f t="shared" si="16"/>
        <v>0</v>
      </c>
      <c r="AJ42" s="200" t="str" cm="1">
        <f t="array" ref="AJ42">IF($AF$3&gt;"00",IF(AI42&lt;&gt;0,INDEX($G$2:$H$223,AI42-1,2),""),"")</f>
        <v/>
      </c>
      <c r="AK42" s="209" t="str">
        <f t="shared" si="11"/>
        <v/>
      </c>
      <c r="AL42" s="215"/>
      <c r="AM42" s="207"/>
      <c r="AN42" s="215"/>
      <c r="AO42" s="215"/>
      <c r="AP42" s="211">
        <f t="shared" si="17"/>
        <v>0</v>
      </c>
      <c r="AQ42" s="211" t="str" cm="1">
        <f t="array" ref="AQ42">IF($AM$3&gt;"00",IF(AP42&lt;&gt;0,INDEX($G$2:$H$223,AP42-1,2),""),"")</f>
        <v/>
      </c>
    </row>
    <row r="43" spans="1:43" x14ac:dyDescent="0.2">
      <c r="A43" s="133" t="s">
        <v>39</v>
      </c>
      <c r="B43" s="133" t="s">
        <v>36</v>
      </c>
      <c r="C43" s="133" t="s">
        <v>406</v>
      </c>
      <c r="D43" s="133" t="s">
        <v>357</v>
      </c>
      <c r="E43" s="133" t="s">
        <v>357</v>
      </c>
      <c r="F43" s="135" t="str">
        <f t="shared" si="0"/>
        <v>0401210000</v>
      </c>
      <c r="G43" s="134" t="s">
        <v>407</v>
      </c>
      <c r="H43" s="11" t="str">
        <f t="shared" si="3"/>
        <v>PORTAGENS - R0401210000</v>
      </c>
      <c r="I43" s="169" t="str">
        <f t="shared" si="4"/>
        <v/>
      </c>
      <c r="J43" s="172"/>
      <c r="K43" s="169"/>
      <c r="L43" s="170"/>
      <c r="M43" s="170"/>
      <c r="N43" s="170">
        <f t="shared" si="5"/>
        <v>0</v>
      </c>
      <c r="O43" s="170" t="str" cm="1">
        <f t="array" ref="O43">IF($K$3&gt;"00",IF(N43&lt;&gt;0,INDEX($G$2:$H$223,N43-1,2),""),"")</f>
        <v/>
      </c>
      <c r="P43" s="177" t="str">
        <f t="shared" si="6"/>
        <v/>
      </c>
      <c r="Q43" s="197"/>
      <c r="R43" s="175"/>
      <c r="S43" s="180"/>
      <c r="T43" s="193"/>
      <c r="U43" s="178">
        <f t="shared" si="14"/>
        <v>0</v>
      </c>
      <c r="V43" s="178" t="str" cm="1">
        <f t="array" ref="V43">IF($R$3&gt;"00",IF(U43&lt;&gt;0,INDEX($G$2:$H$223,U43-1,2),""),"")</f>
        <v/>
      </c>
      <c r="W43" s="183" t="str">
        <f t="shared" si="7"/>
        <v/>
      </c>
      <c r="X43" s="186"/>
      <c r="Y43" s="181"/>
      <c r="Z43" s="186"/>
      <c r="AA43" s="186"/>
      <c r="AB43" s="184">
        <f t="shared" si="15"/>
        <v>0</v>
      </c>
      <c r="AC43" s="184" t="str" cm="1">
        <f t="array" ref="AC43">IF($Y$3&gt;"00",IF(AB43&lt;&gt;0,INDEX($G$2:$H$223,AB43-1,2),""),"")</f>
        <v/>
      </c>
      <c r="AD43" s="218" t="str">
        <f t="shared" si="8"/>
        <v/>
      </c>
      <c r="AE43" s="204"/>
      <c r="AF43" s="198"/>
      <c r="AG43" s="204"/>
      <c r="AH43" s="204"/>
      <c r="AI43" s="200">
        <f t="shared" si="16"/>
        <v>0</v>
      </c>
      <c r="AJ43" s="200" t="str" cm="1">
        <f t="array" ref="AJ43">IF($AF$3&gt;"00",IF(AI43&lt;&gt;0,INDEX($G$2:$H$223,AI43-1,2),""),"")</f>
        <v/>
      </c>
      <c r="AK43" s="209" t="str">
        <f t="shared" si="11"/>
        <v/>
      </c>
      <c r="AL43" s="215"/>
      <c r="AM43" s="207"/>
      <c r="AN43" s="215"/>
      <c r="AO43" s="215"/>
      <c r="AP43" s="211">
        <f t="shared" si="17"/>
        <v>0</v>
      </c>
      <c r="AQ43" s="211" t="str" cm="1">
        <f t="array" ref="AQ43">IF($AM$3&gt;"00",IF(AP43&lt;&gt;0,INDEX($G$2:$H$223,AP43-1,2),""),"")</f>
        <v/>
      </c>
    </row>
    <row r="44" spans="1:43" x14ac:dyDescent="0.2">
      <c r="A44" s="133" t="s">
        <v>39</v>
      </c>
      <c r="B44" s="133" t="s">
        <v>36</v>
      </c>
      <c r="C44" s="133" t="s">
        <v>385</v>
      </c>
      <c r="D44" s="133" t="s">
        <v>357</v>
      </c>
      <c r="E44" s="133" t="s">
        <v>357</v>
      </c>
      <c r="F44" s="135" t="str">
        <f t="shared" si="0"/>
        <v>0401220000</v>
      </c>
      <c r="G44" s="134" t="s">
        <v>386</v>
      </c>
      <c r="H44" s="11" t="str">
        <f t="shared" si="3"/>
        <v>PROPINAS - R0401220000</v>
      </c>
      <c r="I44" s="169" t="str">
        <f t="shared" si="4"/>
        <v/>
      </c>
      <c r="J44" s="172"/>
      <c r="K44" s="169"/>
      <c r="L44" s="170"/>
      <c r="M44" s="170"/>
      <c r="N44" s="170">
        <f t="shared" si="5"/>
        <v>0</v>
      </c>
      <c r="O44" s="170" t="str" cm="1">
        <f t="array" ref="O44">IF($K$3&gt;"00",IF(N44&lt;&gt;0,INDEX($G$2:$H$223,N44-1,2),""),"")</f>
        <v/>
      </c>
      <c r="P44" s="177" t="str">
        <f t="shared" si="6"/>
        <v/>
      </c>
      <c r="Q44" s="197"/>
      <c r="R44" s="175"/>
      <c r="S44" s="180"/>
      <c r="T44" s="193"/>
      <c r="U44" s="178">
        <f t="shared" si="14"/>
        <v>0</v>
      </c>
      <c r="V44" s="178" t="str" cm="1">
        <f t="array" ref="V44">IF($R$3&gt;"00",IF(U44&lt;&gt;0,INDEX($G$2:$H$223,U44-1,2),""),"")</f>
        <v/>
      </c>
      <c r="W44" s="183" t="str">
        <f t="shared" si="7"/>
        <v/>
      </c>
      <c r="X44" s="186"/>
      <c r="Y44" s="181"/>
      <c r="Z44" s="186"/>
      <c r="AA44" s="186"/>
      <c r="AB44" s="184">
        <f t="shared" si="15"/>
        <v>0</v>
      </c>
      <c r="AC44" s="184" t="str" cm="1">
        <f t="array" ref="AC44">IF($Y$3&gt;"00",IF(AB44&lt;&gt;0,INDEX($G$2:$H$223,AB44-1,2),""),"")</f>
        <v/>
      </c>
      <c r="AD44" s="218" t="str">
        <f t="shared" si="8"/>
        <v/>
      </c>
      <c r="AE44" s="204"/>
      <c r="AF44" s="198"/>
      <c r="AG44" s="204"/>
      <c r="AH44" s="204"/>
      <c r="AI44" s="200">
        <f t="shared" si="16"/>
        <v>0</v>
      </c>
      <c r="AJ44" s="200" t="str" cm="1">
        <f t="array" ref="AJ44">IF($AF$3&gt;"00",IF(AI44&lt;&gt;0,INDEX($G$2:$H$223,AI44-1,2),""),"")</f>
        <v/>
      </c>
      <c r="AK44" s="209" t="str">
        <f t="shared" si="11"/>
        <v/>
      </c>
      <c r="AL44" s="215"/>
      <c r="AM44" s="207"/>
      <c r="AN44" s="215"/>
      <c r="AO44" s="215"/>
      <c r="AP44" s="211">
        <f t="shared" si="17"/>
        <v>0</v>
      </c>
      <c r="AQ44" s="211" t="str" cm="1">
        <f t="array" ref="AQ44">IF($AM$3&gt;"00",IF(AP44&lt;&gt;0,INDEX($G$2:$H$223,AP44-1,2),""),"")</f>
        <v/>
      </c>
    </row>
    <row r="45" spans="1:43" x14ac:dyDescent="0.2">
      <c r="A45" s="133" t="s">
        <v>39</v>
      </c>
      <c r="B45" s="133" t="s">
        <v>36</v>
      </c>
      <c r="C45" s="133" t="s">
        <v>387</v>
      </c>
      <c r="D45" s="133" t="s">
        <v>357</v>
      </c>
      <c r="E45" s="133" t="s">
        <v>357</v>
      </c>
      <c r="F45" s="135" t="str">
        <f t="shared" si="0"/>
        <v>0401230000</v>
      </c>
      <c r="G45" s="134" t="s">
        <v>388</v>
      </c>
      <c r="H45" s="11" t="str">
        <f t="shared" si="3"/>
        <v>TAXAS ESPECIFICAS DAS AUTARQUIAS LOCAIS - R0401230000</v>
      </c>
      <c r="I45" s="169" t="str">
        <f t="shared" si="4"/>
        <v/>
      </c>
      <c r="J45" s="172"/>
      <c r="K45" s="169"/>
      <c r="L45" s="170"/>
      <c r="M45" s="170"/>
      <c r="N45" s="170">
        <f t="shared" si="5"/>
        <v>0</v>
      </c>
      <c r="O45" s="170" t="str" cm="1">
        <f t="array" ref="O45">IF($K$3&gt;"00",IF(N45&lt;&gt;0,INDEX($G$2:$H$223,N45-1,2),""),"")</f>
        <v/>
      </c>
      <c r="P45" s="177" t="str">
        <f t="shared" si="6"/>
        <v/>
      </c>
      <c r="Q45" s="197"/>
      <c r="R45" s="175"/>
      <c r="S45" s="180"/>
      <c r="T45" s="193"/>
      <c r="U45" s="178">
        <f t="shared" si="14"/>
        <v>0</v>
      </c>
      <c r="V45" s="178" t="str" cm="1">
        <f t="array" ref="V45">IF($R$3&gt;"00",IF(U45&lt;&gt;0,INDEX($G$2:$H$223,U45-1,2),""),"")</f>
        <v/>
      </c>
      <c r="W45" s="183" t="str">
        <f t="shared" si="7"/>
        <v/>
      </c>
      <c r="X45" s="186"/>
      <c r="Y45" s="181"/>
      <c r="Z45" s="186"/>
      <c r="AA45" s="186"/>
      <c r="AB45" s="184">
        <f t="shared" si="15"/>
        <v>0</v>
      </c>
      <c r="AC45" s="184" t="str" cm="1">
        <f t="array" ref="AC45">IF($Y$3&gt;"00",IF(AB45&lt;&gt;0,INDEX($G$2:$H$223,AB45-1,2),""),"")</f>
        <v/>
      </c>
      <c r="AD45" s="218" t="str">
        <f t="shared" si="8"/>
        <v/>
      </c>
      <c r="AE45" s="204"/>
      <c r="AF45" s="198"/>
      <c r="AG45" s="204"/>
      <c r="AH45" s="204"/>
      <c r="AI45" s="200">
        <f t="shared" si="16"/>
        <v>0</v>
      </c>
      <c r="AJ45" s="200" t="str" cm="1">
        <f t="array" ref="AJ45">IF($AF$3&gt;"00",IF(AI45&lt;&gt;0,INDEX($G$2:$H$223,AI45-1,2),""),"")</f>
        <v/>
      </c>
      <c r="AK45" s="209" t="str">
        <f t="shared" si="11"/>
        <v/>
      </c>
      <c r="AL45" s="215"/>
      <c r="AM45" s="207"/>
      <c r="AN45" s="215"/>
      <c r="AO45" s="215"/>
      <c r="AP45" s="211">
        <f t="shared" si="17"/>
        <v>0</v>
      </c>
      <c r="AQ45" s="211" t="str" cm="1">
        <f t="array" ref="AQ45">IF($AM$3&gt;"00",IF(AP45&lt;&gt;0,INDEX($G$2:$H$223,AP45-1,2),""),"")</f>
        <v/>
      </c>
    </row>
    <row r="46" spans="1:43" x14ac:dyDescent="0.2">
      <c r="A46" s="133" t="s">
        <v>39</v>
      </c>
      <c r="B46" s="133" t="s">
        <v>36</v>
      </c>
      <c r="C46" s="133" t="s">
        <v>329</v>
      </c>
      <c r="D46" s="133" t="s">
        <v>36</v>
      </c>
      <c r="E46" s="133" t="s">
        <v>36</v>
      </c>
      <c r="F46" s="135" t="str">
        <f t="shared" si="0"/>
        <v>0401990101</v>
      </c>
      <c r="G46" s="134" t="s">
        <v>396</v>
      </c>
      <c r="H46" s="11" t="str">
        <f t="shared" si="3"/>
        <v>TAXAS S/EMBALAGENS NÃO REUTILIZÁVEIS-ECOL-EMB - R0401990101</v>
      </c>
      <c r="I46" s="169" t="str">
        <f t="shared" si="4"/>
        <v/>
      </c>
      <c r="J46" s="172"/>
      <c r="K46" s="169"/>
      <c r="L46" s="170"/>
      <c r="M46" s="170"/>
      <c r="N46" s="170">
        <f t="shared" si="5"/>
        <v>0</v>
      </c>
      <c r="O46" s="170" t="str" cm="1">
        <f t="array" ref="O46">IF($K$3&gt;"00",IF(N46&lt;&gt;0,INDEX($G$2:$H$223,N46-1,2),""),"")</f>
        <v/>
      </c>
      <c r="P46" s="177" t="str">
        <f t="shared" si="6"/>
        <v/>
      </c>
      <c r="Q46" s="197"/>
      <c r="R46" s="175"/>
      <c r="S46" s="180"/>
      <c r="T46" s="193"/>
      <c r="U46" s="178">
        <f t="shared" si="14"/>
        <v>0</v>
      </c>
      <c r="V46" s="178" t="str" cm="1">
        <f t="array" ref="V46">IF($R$3&gt;"00",IF(U46&lt;&gt;0,INDEX($G$2:$H$223,U46-1,2),""),"")</f>
        <v/>
      </c>
      <c r="W46" s="183" t="str">
        <f t="shared" si="7"/>
        <v/>
      </c>
      <c r="X46" s="186"/>
      <c r="Y46" s="181"/>
      <c r="Z46" s="186"/>
      <c r="AA46" s="186"/>
      <c r="AB46" s="184">
        <f t="shared" si="15"/>
        <v>0</v>
      </c>
      <c r="AC46" s="184" t="str" cm="1">
        <f t="array" ref="AC46">IF($Y$3&gt;"00",IF(AB46&lt;&gt;0,INDEX($G$2:$H$223,AB46-1,2),""),"")</f>
        <v/>
      </c>
      <c r="AD46" s="218" t="str">
        <f t="shared" si="8"/>
        <v/>
      </c>
      <c r="AE46" s="204"/>
      <c r="AF46" s="198"/>
      <c r="AG46" s="204"/>
      <c r="AH46" s="204"/>
      <c r="AI46" s="200">
        <f t="shared" si="16"/>
        <v>0</v>
      </c>
      <c r="AJ46" s="200" t="str" cm="1">
        <f t="array" ref="AJ46">IF($AF$3&gt;"00",IF(AI46&lt;&gt;0,INDEX($G$2:$H$223,AI46-1,2),""),"")</f>
        <v/>
      </c>
      <c r="AK46" s="209" t="str">
        <f t="shared" si="11"/>
        <v/>
      </c>
      <c r="AL46" s="215"/>
      <c r="AM46" s="207"/>
      <c r="AN46" s="215"/>
      <c r="AO46" s="215"/>
      <c r="AP46" s="211">
        <f t="shared" si="17"/>
        <v>0</v>
      </c>
      <c r="AQ46" s="211" t="str" cm="1">
        <f t="array" ref="AQ46">IF($AM$3&gt;"00",IF(AP46&lt;&gt;0,INDEX($G$2:$H$223,AP46-1,2),""),"")</f>
        <v/>
      </c>
    </row>
    <row r="47" spans="1:43" x14ac:dyDescent="0.2">
      <c r="A47" s="133" t="s">
        <v>39</v>
      </c>
      <c r="B47" s="133" t="s">
        <v>36</v>
      </c>
      <c r="C47" s="133" t="s">
        <v>329</v>
      </c>
      <c r="D47" s="133" t="s">
        <v>36</v>
      </c>
      <c r="E47" s="133" t="s">
        <v>37</v>
      </c>
      <c r="F47" s="135" t="str">
        <f t="shared" si="0"/>
        <v>0401990102</v>
      </c>
      <c r="G47" s="134" t="s">
        <v>409</v>
      </c>
      <c r="H47" s="11" t="str">
        <f t="shared" si="3"/>
        <v>ECOTAXA-SACOS PLÁSTICOS - R0401990102</v>
      </c>
      <c r="I47" s="169" t="str">
        <f t="shared" si="4"/>
        <v/>
      </c>
      <c r="J47" s="172"/>
      <c r="K47" s="167"/>
      <c r="L47" s="172"/>
      <c r="M47" s="172"/>
      <c r="N47" s="172"/>
      <c r="O47" s="172"/>
      <c r="P47" s="177" t="str">
        <f t="shared" si="6"/>
        <v/>
      </c>
      <c r="Q47" s="180"/>
      <c r="R47" s="175"/>
      <c r="S47" s="180"/>
      <c r="T47" s="180"/>
      <c r="U47" s="180"/>
      <c r="V47" s="180"/>
      <c r="W47" s="183" t="str">
        <f t="shared" si="7"/>
        <v/>
      </c>
      <c r="X47" s="186"/>
      <c r="Y47" s="181"/>
      <c r="Z47" s="186"/>
      <c r="AA47" s="186"/>
      <c r="AB47" s="186"/>
      <c r="AC47" s="186"/>
      <c r="AD47" s="218" t="str">
        <f t="shared" si="8"/>
        <v/>
      </c>
      <c r="AE47" s="204"/>
      <c r="AF47" s="198"/>
      <c r="AG47" s="204"/>
      <c r="AH47" s="204"/>
      <c r="AI47" s="204"/>
      <c r="AJ47" s="204"/>
      <c r="AK47" s="209" t="str">
        <f t="shared" si="11"/>
        <v/>
      </c>
      <c r="AL47" s="215"/>
      <c r="AM47" s="207"/>
      <c r="AN47" s="215"/>
      <c r="AO47" s="215"/>
      <c r="AP47" s="215"/>
      <c r="AQ47" s="215"/>
    </row>
    <row r="48" spans="1:43" x14ac:dyDescent="0.2">
      <c r="A48" s="133" t="s">
        <v>39</v>
      </c>
      <c r="B48" s="133" t="s">
        <v>36</v>
      </c>
      <c r="C48" s="133" t="s">
        <v>329</v>
      </c>
      <c r="D48" s="133" t="s">
        <v>329</v>
      </c>
      <c r="E48" s="133" t="s">
        <v>36</v>
      </c>
      <c r="F48" s="135" t="str">
        <f t="shared" si="0"/>
        <v>0401999901</v>
      </c>
      <c r="G48" s="134" t="s">
        <v>412</v>
      </c>
      <c r="H48" s="11" t="str">
        <f t="shared" si="3"/>
        <v>OUTRAS - R0401999901</v>
      </c>
      <c r="I48" s="169" t="str">
        <f t="shared" si="4"/>
        <v/>
      </c>
      <c r="J48" s="172"/>
      <c r="K48" s="167"/>
      <c r="L48" s="172"/>
      <c r="M48" s="172"/>
      <c r="N48" s="172"/>
      <c r="O48" s="172"/>
      <c r="P48" s="177" t="str">
        <f t="shared" si="6"/>
        <v/>
      </c>
      <c r="Q48" s="180"/>
      <c r="R48" s="175"/>
      <c r="S48" s="180"/>
      <c r="T48" s="180"/>
      <c r="U48" s="180"/>
      <c r="V48" s="180"/>
      <c r="W48" s="183" t="str">
        <f t="shared" si="7"/>
        <v/>
      </c>
      <c r="X48" s="186"/>
      <c r="Y48" s="181"/>
      <c r="Z48" s="186"/>
      <c r="AA48" s="186"/>
      <c r="AB48" s="186"/>
      <c r="AC48" s="186"/>
      <c r="AD48" s="218" t="str">
        <f t="shared" si="8"/>
        <v/>
      </c>
      <c r="AE48" s="204"/>
      <c r="AF48" s="198"/>
      <c r="AG48" s="204"/>
      <c r="AH48" s="204"/>
      <c r="AI48" s="204"/>
      <c r="AJ48" s="204"/>
      <c r="AK48" s="209" t="str">
        <f t="shared" si="11"/>
        <v/>
      </c>
      <c r="AL48" s="215"/>
      <c r="AM48" s="207"/>
      <c r="AN48" s="215"/>
      <c r="AO48" s="215"/>
      <c r="AP48" s="215"/>
      <c r="AQ48" s="215"/>
    </row>
    <row r="49" spans="1:43" x14ac:dyDescent="0.2">
      <c r="A49" s="133" t="s">
        <v>39</v>
      </c>
      <c r="B49" s="133" t="s">
        <v>37</v>
      </c>
      <c r="C49" s="133" t="s">
        <v>36</v>
      </c>
      <c r="D49" s="133" t="s">
        <v>357</v>
      </c>
      <c r="E49" s="133" t="s">
        <v>357</v>
      </c>
      <c r="F49" s="135" t="str">
        <f t="shared" si="0"/>
        <v>0402010000</v>
      </c>
      <c r="G49" s="134" t="s">
        <v>402</v>
      </c>
      <c r="H49" s="11" t="str">
        <f t="shared" si="3"/>
        <v>JUROS DE MORA - R0402010000</v>
      </c>
      <c r="I49" s="169" t="str">
        <f t="shared" si="4"/>
        <v/>
      </c>
      <c r="J49" s="172"/>
      <c r="K49" s="167"/>
      <c r="L49" s="172"/>
      <c r="M49" s="172"/>
      <c r="N49" s="172"/>
      <c r="O49" s="172"/>
      <c r="P49" s="177" t="str">
        <f t="shared" si="6"/>
        <v/>
      </c>
      <c r="Q49" s="180"/>
      <c r="R49" s="175"/>
      <c r="S49" s="180"/>
      <c r="T49" s="180"/>
      <c r="U49" s="180"/>
      <c r="V49" s="180"/>
      <c r="W49" s="183" t="str">
        <f t="shared" si="7"/>
        <v/>
      </c>
      <c r="X49" s="186"/>
      <c r="Y49" s="181"/>
      <c r="Z49" s="186"/>
      <c r="AA49" s="186"/>
      <c r="AB49" s="186"/>
      <c r="AC49" s="186"/>
      <c r="AD49" s="218" t="str">
        <f t="shared" si="8"/>
        <v/>
      </c>
      <c r="AE49" s="204"/>
      <c r="AF49" s="198"/>
      <c r="AG49" s="204"/>
      <c r="AH49" s="204"/>
      <c r="AI49" s="204"/>
      <c r="AJ49" s="204"/>
      <c r="AK49" s="209" t="str">
        <f t="shared" si="11"/>
        <v/>
      </c>
      <c r="AL49" s="215"/>
      <c r="AM49" s="207"/>
      <c r="AN49" s="215"/>
      <c r="AO49" s="215"/>
      <c r="AP49" s="215"/>
      <c r="AQ49" s="215"/>
    </row>
    <row r="50" spans="1:43" x14ac:dyDescent="0.2">
      <c r="A50" s="133" t="s">
        <v>39</v>
      </c>
      <c r="B50" s="133" t="s">
        <v>37</v>
      </c>
      <c r="C50" s="133" t="s">
        <v>37</v>
      </c>
      <c r="D50" s="133" t="s">
        <v>357</v>
      </c>
      <c r="E50" s="133" t="s">
        <v>357</v>
      </c>
      <c r="F50" s="135" t="str">
        <f t="shared" si="0"/>
        <v>0402020000</v>
      </c>
      <c r="G50" s="134" t="s">
        <v>390</v>
      </c>
      <c r="H50" s="11" t="str">
        <f t="shared" si="3"/>
        <v>JUROS COMPENSATÓRIOS - R0402020000</v>
      </c>
      <c r="I50" s="169" t="str">
        <f t="shared" si="4"/>
        <v/>
      </c>
      <c r="J50" s="172"/>
      <c r="K50" s="167"/>
      <c r="L50" s="172"/>
      <c r="M50" s="172"/>
      <c r="N50" s="172"/>
      <c r="O50" s="172"/>
      <c r="P50" s="177" t="str">
        <f t="shared" si="6"/>
        <v/>
      </c>
      <c r="Q50" s="180"/>
      <c r="R50" s="175"/>
      <c r="S50" s="180"/>
      <c r="T50" s="180"/>
      <c r="U50" s="180"/>
      <c r="V50" s="180"/>
      <c r="W50" s="183" t="str">
        <f t="shared" si="7"/>
        <v/>
      </c>
      <c r="X50" s="186"/>
      <c r="Y50" s="181"/>
      <c r="Z50" s="186"/>
      <c r="AA50" s="186"/>
      <c r="AB50" s="186"/>
      <c r="AC50" s="186"/>
      <c r="AD50" s="218" t="str">
        <f t="shared" si="8"/>
        <v/>
      </c>
      <c r="AE50" s="204"/>
      <c r="AF50" s="198"/>
      <c r="AG50" s="204"/>
      <c r="AH50" s="204"/>
      <c r="AI50" s="204"/>
      <c r="AJ50" s="204"/>
      <c r="AK50" s="209" t="str">
        <f t="shared" si="11"/>
        <v/>
      </c>
      <c r="AL50" s="215"/>
      <c r="AM50" s="207"/>
      <c r="AN50" s="215"/>
      <c r="AO50" s="215"/>
      <c r="AP50" s="215"/>
      <c r="AQ50" s="215"/>
    </row>
    <row r="51" spans="1:43" x14ac:dyDescent="0.2">
      <c r="A51" s="133" t="s">
        <v>39</v>
      </c>
      <c r="B51" s="133" t="s">
        <v>37</v>
      </c>
      <c r="C51" s="133" t="s">
        <v>38</v>
      </c>
      <c r="D51" s="133" t="s">
        <v>357</v>
      </c>
      <c r="E51" s="133" t="s">
        <v>357</v>
      </c>
      <c r="F51" s="135" t="str">
        <f t="shared" si="0"/>
        <v>0402030000</v>
      </c>
      <c r="G51" s="134" t="s">
        <v>417</v>
      </c>
      <c r="H51" s="11" t="str">
        <f t="shared" si="3"/>
        <v>MULTAS E COIMAS P/ INFRAÇÕES CÓDIGO ESTRADA E RESTANTE LEGISLAÇÃO - R0402030000</v>
      </c>
      <c r="I51" s="169" t="str">
        <f t="shared" si="4"/>
        <v/>
      </c>
      <c r="J51" s="172"/>
      <c r="K51" s="167"/>
      <c r="L51" s="172"/>
      <c r="M51" s="172"/>
      <c r="N51" s="172"/>
      <c r="O51" s="172"/>
      <c r="P51" s="177" t="str">
        <f t="shared" si="6"/>
        <v/>
      </c>
      <c r="Q51" s="180"/>
      <c r="R51" s="175"/>
      <c r="S51" s="180"/>
      <c r="T51" s="180"/>
      <c r="U51" s="180"/>
      <c r="V51" s="180"/>
      <c r="W51" s="183" t="str">
        <f t="shared" si="7"/>
        <v/>
      </c>
      <c r="X51" s="186"/>
      <c r="Y51" s="181"/>
      <c r="Z51" s="186"/>
      <c r="AA51" s="186"/>
      <c r="AB51" s="186"/>
      <c r="AC51" s="186"/>
      <c r="AD51" s="218" t="str">
        <f t="shared" si="8"/>
        <v/>
      </c>
      <c r="AE51" s="204"/>
      <c r="AF51" s="198"/>
      <c r="AG51" s="204"/>
      <c r="AH51" s="204"/>
      <c r="AI51" s="204"/>
      <c r="AJ51" s="204"/>
      <c r="AK51" s="209" t="str">
        <f t="shared" si="11"/>
        <v/>
      </c>
      <c r="AL51" s="215"/>
      <c r="AM51" s="207"/>
      <c r="AN51" s="215"/>
      <c r="AO51" s="215"/>
      <c r="AP51" s="215"/>
      <c r="AQ51" s="215"/>
    </row>
    <row r="52" spans="1:43" x14ac:dyDescent="0.2">
      <c r="A52" s="133" t="s">
        <v>39</v>
      </c>
      <c r="B52" s="133" t="s">
        <v>37</v>
      </c>
      <c r="C52" s="133" t="s">
        <v>39</v>
      </c>
      <c r="D52" s="133" t="s">
        <v>357</v>
      </c>
      <c r="E52" s="133" t="s">
        <v>357</v>
      </c>
      <c r="F52" s="135" t="str">
        <f t="shared" si="0"/>
        <v>0402040000</v>
      </c>
      <c r="G52" s="134" t="s">
        <v>389</v>
      </c>
      <c r="H52" s="11" t="str">
        <f t="shared" si="3"/>
        <v>COIMAS E PENALIDADES POR CONTRAORDENAÇÕES - R0402040000</v>
      </c>
      <c r="I52" s="169" t="str">
        <f t="shared" si="4"/>
        <v/>
      </c>
      <c r="J52" s="172"/>
      <c r="K52" s="167"/>
      <c r="L52" s="172"/>
      <c r="M52" s="172"/>
      <c r="N52" s="172"/>
      <c r="O52" s="172"/>
      <c r="P52" s="177" t="str">
        <f t="shared" si="6"/>
        <v/>
      </c>
      <c r="Q52" s="180"/>
      <c r="R52" s="175"/>
      <c r="S52" s="180"/>
      <c r="T52" s="180"/>
      <c r="U52" s="180"/>
      <c r="V52" s="180"/>
      <c r="W52" s="183" t="str">
        <f t="shared" si="7"/>
        <v/>
      </c>
      <c r="X52" s="186"/>
      <c r="Y52" s="181"/>
      <c r="Z52" s="186"/>
      <c r="AA52" s="186"/>
      <c r="AB52" s="186"/>
      <c r="AC52" s="186"/>
      <c r="AD52" s="218" t="str">
        <f t="shared" si="8"/>
        <v/>
      </c>
      <c r="AE52" s="204"/>
      <c r="AF52" s="198"/>
      <c r="AG52" s="204"/>
      <c r="AH52" s="204"/>
      <c r="AI52" s="204"/>
      <c r="AJ52" s="204"/>
      <c r="AK52" s="209" t="str">
        <f t="shared" si="11"/>
        <v/>
      </c>
      <c r="AL52" s="215"/>
      <c r="AM52" s="207"/>
      <c r="AN52" s="215"/>
      <c r="AO52" s="215"/>
      <c r="AP52" s="215"/>
      <c r="AQ52" s="215"/>
    </row>
    <row r="53" spans="1:43" x14ac:dyDescent="0.2">
      <c r="A53" s="133" t="s">
        <v>39</v>
      </c>
      <c r="B53" s="133" t="s">
        <v>37</v>
      </c>
      <c r="C53" s="133" t="s">
        <v>329</v>
      </c>
      <c r="D53" s="133" t="s">
        <v>357</v>
      </c>
      <c r="E53" s="133" t="s">
        <v>357</v>
      </c>
      <c r="F53" s="135" t="str">
        <f t="shared" si="0"/>
        <v>0402990000</v>
      </c>
      <c r="G53" s="134" t="s">
        <v>408</v>
      </c>
      <c r="H53" s="11" t="str">
        <f t="shared" si="3"/>
        <v>MULTAS E PENALIDADES DIVERSAS - R0402990000</v>
      </c>
      <c r="I53" s="169" t="str">
        <f t="shared" si="4"/>
        <v/>
      </c>
      <c r="J53" s="172"/>
      <c r="K53" s="167"/>
      <c r="L53" s="172"/>
      <c r="M53" s="172"/>
      <c r="N53" s="172"/>
      <c r="O53" s="172"/>
      <c r="P53" s="177" t="str">
        <f t="shared" si="6"/>
        <v/>
      </c>
      <c r="Q53" s="180"/>
      <c r="R53" s="175"/>
      <c r="S53" s="180"/>
      <c r="T53" s="180"/>
      <c r="U53" s="180"/>
      <c r="V53" s="180"/>
      <c r="W53" s="183" t="str">
        <f t="shared" si="7"/>
        <v/>
      </c>
      <c r="X53" s="186"/>
      <c r="Y53" s="181"/>
      <c r="Z53" s="186"/>
      <c r="AA53" s="186"/>
      <c r="AB53" s="186"/>
      <c r="AC53" s="186"/>
      <c r="AD53" s="218" t="str">
        <f t="shared" si="8"/>
        <v/>
      </c>
      <c r="AE53" s="204"/>
      <c r="AF53" s="198"/>
      <c r="AG53" s="204"/>
      <c r="AH53" s="204"/>
      <c r="AI53" s="204"/>
      <c r="AJ53" s="204"/>
      <c r="AK53" s="209" t="str">
        <f t="shared" si="11"/>
        <v/>
      </c>
      <c r="AL53" s="215"/>
      <c r="AM53" s="207"/>
      <c r="AN53" s="215"/>
      <c r="AO53" s="215"/>
      <c r="AP53" s="215"/>
      <c r="AQ53" s="215"/>
    </row>
    <row r="54" spans="1:43" x14ac:dyDescent="0.2">
      <c r="A54" s="133" t="s">
        <v>40</v>
      </c>
      <c r="B54" s="133" t="s">
        <v>36</v>
      </c>
      <c r="C54" s="133" t="s">
        <v>36</v>
      </c>
      <c r="D54" s="133" t="s">
        <v>357</v>
      </c>
      <c r="E54" s="133" t="s">
        <v>357</v>
      </c>
      <c r="F54" s="135" t="str">
        <f t="shared" si="0"/>
        <v>0501010000</v>
      </c>
      <c r="G54" s="134" t="s">
        <v>423</v>
      </c>
      <c r="H54" s="11" t="str">
        <f t="shared" si="3"/>
        <v>PUBLICAS - R0501010000</v>
      </c>
      <c r="I54" s="169" t="str">
        <f t="shared" si="4"/>
        <v/>
      </c>
      <c r="J54" s="172"/>
      <c r="K54" s="167"/>
      <c r="L54" s="172"/>
      <c r="M54" s="172"/>
      <c r="N54" s="172"/>
      <c r="O54" s="172"/>
      <c r="P54" s="177" t="str">
        <f t="shared" si="6"/>
        <v/>
      </c>
      <c r="Q54" s="180"/>
      <c r="R54" s="175"/>
      <c r="S54" s="180"/>
      <c r="T54" s="180"/>
      <c r="U54" s="180"/>
      <c r="V54" s="180"/>
      <c r="W54" s="183" t="str">
        <f t="shared" si="7"/>
        <v/>
      </c>
      <c r="X54" s="186"/>
      <c r="Y54" s="181"/>
      <c r="Z54" s="186"/>
      <c r="AA54" s="186"/>
      <c r="AB54" s="186"/>
      <c r="AC54" s="186"/>
      <c r="AD54" s="218" t="str">
        <f t="shared" si="8"/>
        <v/>
      </c>
      <c r="AE54" s="204"/>
      <c r="AF54" s="198"/>
      <c r="AG54" s="204"/>
      <c r="AH54" s="204"/>
      <c r="AI54" s="204"/>
      <c r="AJ54" s="204"/>
      <c r="AK54" s="209" t="str">
        <f t="shared" si="11"/>
        <v/>
      </c>
      <c r="AL54" s="215"/>
      <c r="AM54" s="207"/>
      <c r="AN54" s="215"/>
      <c r="AO54" s="215"/>
      <c r="AP54" s="215"/>
      <c r="AQ54" s="215"/>
    </row>
    <row r="55" spans="1:43" x14ac:dyDescent="0.2">
      <c r="A55" s="133" t="s">
        <v>40</v>
      </c>
      <c r="B55" s="133" t="s">
        <v>36</v>
      </c>
      <c r="C55" s="133" t="s">
        <v>37</v>
      </c>
      <c r="D55" s="133" t="s">
        <v>357</v>
      </c>
      <c r="E55" s="133" t="s">
        <v>357</v>
      </c>
      <c r="F55" s="135" t="str">
        <f t="shared" si="0"/>
        <v>0501020000</v>
      </c>
      <c r="G55" s="134" t="s">
        <v>420</v>
      </c>
      <c r="H55" s="11" t="str">
        <f t="shared" si="3"/>
        <v>PRIVADAS - R0501020000</v>
      </c>
      <c r="I55" s="169" t="str">
        <f t="shared" si="4"/>
        <v/>
      </c>
      <c r="J55" s="172"/>
      <c r="K55" s="167"/>
      <c r="L55" s="172"/>
      <c r="M55" s="172"/>
      <c r="N55" s="172"/>
      <c r="O55" s="172"/>
      <c r="P55" s="177" t="str">
        <f t="shared" si="6"/>
        <v/>
      </c>
      <c r="Q55" s="180"/>
      <c r="R55" s="175"/>
      <c r="S55" s="180"/>
      <c r="T55" s="180"/>
      <c r="U55" s="180"/>
      <c r="V55" s="180"/>
      <c r="W55" s="183" t="str">
        <f t="shared" si="7"/>
        <v/>
      </c>
      <c r="X55" s="186"/>
      <c r="Y55" s="181"/>
      <c r="Z55" s="186"/>
      <c r="AA55" s="186"/>
      <c r="AB55" s="186"/>
      <c r="AC55" s="186"/>
      <c r="AD55" s="218" t="str">
        <f t="shared" si="8"/>
        <v/>
      </c>
      <c r="AE55" s="204"/>
      <c r="AF55" s="198"/>
      <c r="AG55" s="204"/>
      <c r="AH55" s="204"/>
      <c r="AI55" s="204"/>
      <c r="AJ55" s="204"/>
      <c r="AK55" s="209" t="str">
        <f t="shared" si="11"/>
        <v/>
      </c>
      <c r="AL55" s="215"/>
      <c r="AM55" s="207"/>
      <c r="AN55" s="215"/>
      <c r="AO55" s="215"/>
      <c r="AP55" s="215"/>
      <c r="AQ55" s="215"/>
    </row>
    <row r="56" spans="1:43" x14ac:dyDescent="0.2">
      <c r="A56" s="133" t="s">
        <v>40</v>
      </c>
      <c r="B56" s="133" t="s">
        <v>37</v>
      </c>
      <c r="C56" s="133" t="s">
        <v>36</v>
      </c>
      <c r="D56" s="133" t="s">
        <v>357</v>
      </c>
      <c r="E56" s="133" t="s">
        <v>357</v>
      </c>
      <c r="F56" s="135" t="str">
        <f t="shared" si="0"/>
        <v>0502010000</v>
      </c>
      <c r="G56" s="134" t="s">
        <v>418</v>
      </c>
      <c r="H56" s="11" t="str">
        <f t="shared" si="3"/>
        <v>BANCOS E OUTRAS INSTITUIÇÕES FINANCEIRAS - R0502010000</v>
      </c>
      <c r="I56" s="169" t="str">
        <f t="shared" si="4"/>
        <v/>
      </c>
      <c r="J56" s="172"/>
      <c r="K56" s="167"/>
      <c r="L56" s="172"/>
      <c r="M56" s="172"/>
      <c r="N56" s="172"/>
      <c r="O56" s="172"/>
      <c r="P56" s="177" t="str">
        <f t="shared" si="6"/>
        <v/>
      </c>
      <c r="Q56" s="180"/>
      <c r="R56" s="175"/>
      <c r="S56" s="180"/>
      <c r="T56" s="180"/>
      <c r="U56" s="180"/>
      <c r="V56" s="180"/>
      <c r="W56" s="183" t="str">
        <f t="shared" si="7"/>
        <v/>
      </c>
      <c r="X56" s="186"/>
      <c r="Y56" s="181"/>
      <c r="Z56" s="186"/>
      <c r="AA56" s="186"/>
      <c r="AB56" s="186"/>
      <c r="AC56" s="186"/>
      <c r="AD56" s="218" t="str">
        <f t="shared" si="8"/>
        <v/>
      </c>
      <c r="AE56" s="204"/>
      <c r="AF56" s="198"/>
      <c r="AG56" s="204"/>
      <c r="AH56" s="204"/>
      <c r="AI56" s="204"/>
      <c r="AJ56" s="204"/>
      <c r="AK56" s="209" t="str">
        <f t="shared" si="11"/>
        <v/>
      </c>
      <c r="AL56" s="215"/>
      <c r="AM56" s="207"/>
      <c r="AN56" s="215"/>
      <c r="AO56" s="215"/>
      <c r="AP56" s="215"/>
      <c r="AQ56" s="215"/>
    </row>
    <row r="57" spans="1:43" x14ac:dyDescent="0.2">
      <c r="A57" s="133" t="s">
        <v>40</v>
      </c>
      <c r="B57" s="133" t="s">
        <v>37</v>
      </c>
      <c r="C57" s="133" t="s">
        <v>37</v>
      </c>
      <c r="D57" s="133" t="s">
        <v>357</v>
      </c>
      <c r="E57" s="133" t="s">
        <v>357</v>
      </c>
      <c r="F57" s="135" t="str">
        <f t="shared" si="0"/>
        <v>0502020000</v>
      </c>
      <c r="G57" s="134" t="s">
        <v>419</v>
      </c>
      <c r="H57" s="11" t="str">
        <f t="shared" si="3"/>
        <v>COMPANHIAS DE SEGUROS E FUNDOS DE PENSÕES - R0502020000</v>
      </c>
      <c r="I57" s="169" t="str">
        <f t="shared" si="4"/>
        <v/>
      </c>
      <c r="J57" s="172"/>
      <c r="K57" s="167"/>
      <c r="L57" s="172"/>
      <c r="M57" s="172"/>
      <c r="N57" s="172"/>
      <c r="O57" s="172"/>
      <c r="P57" s="177" t="str">
        <f t="shared" si="6"/>
        <v/>
      </c>
      <c r="Q57" s="180"/>
      <c r="R57" s="175"/>
      <c r="S57" s="180"/>
      <c r="T57" s="180"/>
      <c r="U57" s="180"/>
      <c r="V57" s="180"/>
      <c r="W57" s="183" t="str">
        <f t="shared" si="7"/>
        <v/>
      </c>
      <c r="X57" s="186"/>
      <c r="Y57" s="181"/>
      <c r="Z57" s="186"/>
      <c r="AA57" s="186"/>
      <c r="AB57" s="186"/>
      <c r="AC57" s="186"/>
      <c r="AD57" s="218" t="str">
        <f t="shared" si="8"/>
        <v/>
      </c>
      <c r="AE57" s="204"/>
      <c r="AF57" s="198"/>
      <c r="AG57" s="204"/>
      <c r="AH57" s="204"/>
      <c r="AI57" s="204"/>
      <c r="AJ57" s="204"/>
      <c r="AK57" s="209" t="str">
        <f t="shared" si="11"/>
        <v/>
      </c>
      <c r="AL57" s="215"/>
      <c r="AM57" s="207"/>
      <c r="AN57" s="215"/>
      <c r="AO57" s="215"/>
      <c r="AP57" s="215"/>
      <c r="AQ57" s="215"/>
    </row>
    <row r="58" spans="1:43" x14ac:dyDescent="0.2">
      <c r="A58" s="133" t="s">
        <v>40</v>
      </c>
      <c r="B58" s="133" t="s">
        <v>38</v>
      </c>
      <c r="C58" s="133" t="s">
        <v>36</v>
      </c>
      <c r="D58" s="133" t="s">
        <v>357</v>
      </c>
      <c r="E58" s="133" t="s">
        <v>357</v>
      </c>
      <c r="F58" s="135" t="str">
        <f t="shared" si="0"/>
        <v>0503010000</v>
      </c>
      <c r="G58" s="134" t="s">
        <v>428</v>
      </c>
      <c r="H58" s="11" t="str">
        <f t="shared" si="3"/>
        <v>ADMINISTRAÇÃO CENTRAL - ESTADO - R0503010000</v>
      </c>
      <c r="I58" s="169" t="str">
        <f t="shared" si="4"/>
        <v/>
      </c>
      <c r="J58" s="172"/>
      <c r="K58" s="167"/>
      <c r="L58" s="172"/>
      <c r="M58" s="172"/>
      <c r="N58" s="172"/>
      <c r="O58" s="172"/>
      <c r="P58" s="177" t="str">
        <f t="shared" si="6"/>
        <v/>
      </c>
      <c r="Q58" s="180"/>
      <c r="R58" s="175"/>
      <c r="S58" s="180"/>
      <c r="T58" s="180"/>
      <c r="U58" s="180"/>
      <c r="V58" s="180"/>
      <c r="W58" s="183" t="str">
        <f t="shared" si="7"/>
        <v/>
      </c>
      <c r="X58" s="186"/>
      <c r="Y58" s="181"/>
      <c r="Z58" s="186"/>
      <c r="AA58" s="186"/>
      <c r="AB58" s="186"/>
      <c r="AC58" s="186"/>
      <c r="AD58" s="218" t="str">
        <f t="shared" si="8"/>
        <v/>
      </c>
      <c r="AE58" s="204"/>
      <c r="AF58" s="198"/>
      <c r="AG58" s="204"/>
      <c r="AH58" s="204"/>
      <c r="AI58" s="204"/>
      <c r="AJ58" s="204"/>
      <c r="AK58" s="209" t="str">
        <f t="shared" si="11"/>
        <v/>
      </c>
      <c r="AL58" s="215"/>
      <c r="AM58" s="207"/>
      <c r="AN58" s="215"/>
      <c r="AO58" s="215"/>
      <c r="AP58" s="215"/>
      <c r="AQ58" s="215"/>
    </row>
    <row r="59" spans="1:43" x14ac:dyDescent="0.2">
      <c r="A59" s="133" t="s">
        <v>40</v>
      </c>
      <c r="B59" s="133" t="s">
        <v>38</v>
      </c>
      <c r="C59" s="133" t="s">
        <v>38</v>
      </c>
      <c r="D59" s="133" t="s">
        <v>357</v>
      </c>
      <c r="E59" s="133" t="s">
        <v>357</v>
      </c>
      <c r="F59" s="135" t="str">
        <f t="shared" si="0"/>
        <v>0503030000</v>
      </c>
      <c r="G59" s="134" t="s">
        <v>430</v>
      </c>
      <c r="H59" s="11" t="str">
        <f t="shared" si="3"/>
        <v>ADMINISTRAÇÃO REGIONAL - R0503030000</v>
      </c>
      <c r="I59" s="169" t="str">
        <f t="shared" si="4"/>
        <v/>
      </c>
      <c r="J59" s="172"/>
      <c r="K59" s="167"/>
      <c r="L59" s="172"/>
      <c r="M59" s="172"/>
      <c r="N59" s="172"/>
      <c r="O59" s="172"/>
      <c r="P59" s="177" t="str">
        <f t="shared" si="6"/>
        <v/>
      </c>
      <c r="Q59" s="180"/>
      <c r="R59" s="175"/>
      <c r="S59" s="180"/>
      <c r="T59" s="180"/>
      <c r="U59" s="180"/>
      <c r="V59" s="180"/>
      <c r="W59" s="183" t="str">
        <f t="shared" si="7"/>
        <v/>
      </c>
      <c r="X59" s="186"/>
      <c r="Y59" s="181"/>
      <c r="Z59" s="186"/>
      <c r="AA59" s="186"/>
      <c r="AB59" s="186"/>
      <c r="AC59" s="186"/>
      <c r="AD59" s="218" t="str">
        <f t="shared" si="8"/>
        <v/>
      </c>
      <c r="AE59" s="204"/>
      <c r="AF59" s="198"/>
      <c r="AG59" s="204"/>
      <c r="AH59" s="204"/>
      <c r="AI59" s="204"/>
      <c r="AJ59" s="204"/>
      <c r="AK59" s="209" t="str">
        <f t="shared" si="11"/>
        <v/>
      </c>
      <c r="AL59" s="215"/>
      <c r="AM59" s="207"/>
      <c r="AN59" s="215"/>
      <c r="AO59" s="215"/>
      <c r="AP59" s="215"/>
      <c r="AQ59" s="215"/>
    </row>
    <row r="60" spans="1:43" x14ac:dyDescent="0.2">
      <c r="A60" s="133" t="s">
        <v>40</v>
      </c>
      <c r="B60" s="133" t="s">
        <v>39</v>
      </c>
      <c r="C60" s="133" t="s">
        <v>36</v>
      </c>
      <c r="D60" s="133" t="s">
        <v>357</v>
      </c>
      <c r="E60" s="133" t="s">
        <v>357</v>
      </c>
      <c r="F60" s="135" t="str">
        <f t="shared" si="0"/>
        <v>0504010000</v>
      </c>
      <c r="G60" s="134" t="s">
        <v>431</v>
      </c>
      <c r="H60" s="11" t="str">
        <f t="shared" si="3"/>
        <v>JUROS - INSTITUIÇÕES S/FINS LUCRATIVOS - R0504010000</v>
      </c>
      <c r="I60" s="169" t="str">
        <f t="shared" si="4"/>
        <v/>
      </c>
      <c r="J60" s="172"/>
      <c r="K60" s="167"/>
      <c r="L60" s="172"/>
      <c r="M60" s="172"/>
      <c r="N60" s="172"/>
      <c r="O60" s="172"/>
      <c r="P60" s="177" t="str">
        <f t="shared" si="6"/>
        <v/>
      </c>
      <c r="Q60" s="180"/>
      <c r="R60" s="175"/>
      <c r="S60" s="180"/>
      <c r="T60" s="180"/>
      <c r="U60" s="180"/>
      <c r="V60" s="180"/>
      <c r="W60" s="183" t="str">
        <f t="shared" si="7"/>
        <v/>
      </c>
      <c r="X60" s="186"/>
      <c r="Y60" s="181"/>
      <c r="Z60" s="186"/>
      <c r="AA60" s="186"/>
      <c r="AB60" s="186"/>
      <c r="AC60" s="186"/>
      <c r="AD60" s="218" t="str">
        <f t="shared" si="8"/>
        <v/>
      </c>
      <c r="AE60" s="204"/>
      <c r="AF60" s="198"/>
      <c r="AG60" s="204"/>
      <c r="AH60" s="204"/>
      <c r="AI60" s="204"/>
      <c r="AJ60" s="204"/>
      <c r="AK60" s="209" t="str">
        <f t="shared" si="11"/>
        <v/>
      </c>
      <c r="AL60" s="215"/>
      <c r="AM60" s="207"/>
      <c r="AN60" s="215"/>
      <c r="AO60" s="215"/>
      <c r="AP60" s="215"/>
      <c r="AQ60" s="215"/>
    </row>
    <row r="61" spans="1:43" x14ac:dyDescent="0.2">
      <c r="A61" s="133" t="s">
        <v>40</v>
      </c>
      <c r="B61" s="133" t="s">
        <v>40</v>
      </c>
      <c r="C61" s="133" t="s">
        <v>36</v>
      </c>
      <c r="D61" s="133" t="s">
        <v>357</v>
      </c>
      <c r="E61" s="133" t="s">
        <v>357</v>
      </c>
      <c r="F61" s="135" t="str">
        <f t="shared" si="0"/>
        <v>0505010000</v>
      </c>
      <c r="G61" s="134" t="s">
        <v>422</v>
      </c>
      <c r="H61" s="11" t="str">
        <f t="shared" si="3"/>
        <v>JUROS - FAMÍLIAS - R0505010000</v>
      </c>
      <c r="I61" s="169" t="str">
        <f t="shared" si="4"/>
        <v/>
      </c>
      <c r="J61" s="172"/>
      <c r="K61" s="167"/>
      <c r="L61" s="172"/>
      <c r="M61" s="172"/>
      <c r="N61" s="172"/>
      <c r="O61" s="172"/>
      <c r="P61" s="177" t="str">
        <f t="shared" si="6"/>
        <v/>
      </c>
      <c r="Q61" s="180"/>
      <c r="R61" s="175"/>
      <c r="S61" s="180"/>
      <c r="T61" s="180"/>
      <c r="U61" s="180"/>
      <c r="V61" s="180"/>
      <c r="W61" s="183" t="str">
        <f t="shared" si="7"/>
        <v/>
      </c>
      <c r="X61" s="186"/>
      <c r="Y61" s="181"/>
      <c r="Z61" s="186"/>
      <c r="AA61" s="186"/>
      <c r="AB61" s="186"/>
      <c r="AC61" s="186"/>
      <c r="AD61" s="218" t="str">
        <f t="shared" si="8"/>
        <v/>
      </c>
      <c r="AE61" s="204"/>
      <c r="AF61" s="198"/>
      <c r="AG61" s="204"/>
      <c r="AH61" s="204"/>
      <c r="AI61" s="204"/>
      <c r="AJ61" s="204"/>
      <c r="AK61" s="209" t="str">
        <f t="shared" si="11"/>
        <v/>
      </c>
      <c r="AL61" s="215"/>
      <c r="AM61" s="207"/>
      <c r="AN61" s="215"/>
      <c r="AO61" s="215"/>
      <c r="AP61" s="215"/>
      <c r="AQ61" s="215"/>
    </row>
    <row r="62" spans="1:43" x14ac:dyDescent="0.2">
      <c r="A62" s="133" t="s">
        <v>40</v>
      </c>
      <c r="B62" s="133" t="s">
        <v>42</v>
      </c>
      <c r="C62" s="133" t="s">
        <v>36</v>
      </c>
      <c r="D62" s="133" t="s">
        <v>357</v>
      </c>
      <c r="E62" s="133" t="s">
        <v>357</v>
      </c>
      <c r="F62" s="135" t="str">
        <f t="shared" si="0"/>
        <v>0507010000</v>
      </c>
      <c r="G62" s="134" t="s">
        <v>432</v>
      </c>
      <c r="H62" s="11" t="str">
        <f t="shared" si="3"/>
        <v>DIVID E PARTICIP LUCROS DE SOC E QUASE-SOC NÃO FINANCEIRAS - R0507010000</v>
      </c>
      <c r="I62" s="169" t="str">
        <f t="shared" si="4"/>
        <v/>
      </c>
      <c r="J62" s="172"/>
      <c r="K62" s="167"/>
      <c r="L62" s="172"/>
      <c r="M62" s="172"/>
      <c r="N62" s="172"/>
      <c r="O62" s="172"/>
      <c r="P62" s="177" t="str">
        <f t="shared" si="6"/>
        <v/>
      </c>
      <c r="Q62" s="180"/>
      <c r="R62" s="175"/>
      <c r="S62" s="180"/>
      <c r="T62" s="180"/>
      <c r="U62" s="180"/>
      <c r="V62" s="180"/>
      <c r="W62" s="183" t="str">
        <f t="shared" si="7"/>
        <v/>
      </c>
      <c r="X62" s="186"/>
      <c r="Y62" s="181"/>
      <c r="Z62" s="186"/>
      <c r="AA62" s="186"/>
      <c r="AB62" s="186"/>
      <c r="AC62" s="186"/>
      <c r="AD62" s="218" t="str">
        <f t="shared" si="8"/>
        <v/>
      </c>
      <c r="AE62" s="204"/>
      <c r="AF62" s="198"/>
      <c r="AG62" s="204"/>
      <c r="AH62" s="204"/>
      <c r="AI62" s="204"/>
      <c r="AJ62" s="204"/>
      <c r="AK62" s="209" t="str">
        <f t="shared" si="11"/>
        <v/>
      </c>
      <c r="AL62" s="215"/>
      <c r="AM62" s="207"/>
      <c r="AN62" s="215"/>
      <c r="AO62" s="215"/>
      <c r="AP62" s="215"/>
      <c r="AQ62" s="215"/>
    </row>
    <row r="63" spans="1:43" x14ac:dyDescent="0.2">
      <c r="A63" s="133" t="s">
        <v>40</v>
      </c>
      <c r="B63" s="133" t="s">
        <v>43</v>
      </c>
      <c r="C63" s="133" t="s">
        <v>36</v>
      </c>
      <c r="D63" s="133" t="s">
        <v>357</v>
      </c>
      <c r="E63" s="133" t="s">
        <v>357</v>
      </c>
      <c r="F63" s="135" t="str">
        <f t="shared" si="0"/>
        <v>0508010000</v>
      </c>
      <c r="G63" s="134" t="s">
        <v>427</v>
      </c>
      <c r="H63" s="11" t="str">
        <f t="shared" si="3"/>
        <v>DIVIDENDOS E PARTICIP NOS LUCROS DE SOC. FINANCEIRAS - R0508010000</v>
      </c>
      <c r="I63" s="169" t="str">
        <f t="shared" si="4"/>
        <v/>
      </c>
      <c r="J63" s="172"/>
      <c r="K63" s="167"/>
      <c r="L63" s="172"/>
      <c r="M63" s="172"/>
      <c r="N63" s="172"/>
      <c r="O63" s="172"/>
      <c r="P63" s="177" t="str">
        <f t="shared" si="6"/>
        <v/>
      </c>
      <c r="Q63" s="180"/>
      <c r="R63" s="175"/>
      <c r="S63" s="180"/>
      <c r="T63" s="180"/>
      <c r="U63" s="180"/>
      <c r="V63" s="180"/>
      <c r="W63" s="183" t="str">
        <f t="shared" si="7"/>
        <v/>
      </c>
      <c r="X63" s="186"/>
      <c r="Y63" s="181"/>
      <c r="Z63" s="186"/>
      <c r="AA63" s="186"/>
      <c r="AB63" s="186"/>
      <c r="AC63" s="186"/>
      <c r="AD63" s="218" t="str">
        <f t="shared" si="8"/>
        <v/>
      </c>
      <c r="AE63" s="204"/>
      <c r="AF63" s="198"/>
      <c r="AG63" s="204"/>
      <c r="AH63" s="204"/>
      <c r="AI63" s="204"/>
      <c r="AJ63" s="204"/>
      <c r="AK63" s="209" t="str">
        <f t="shared" si="11"/>
        <v/>
      </c>
      <c r="AL63" s="215"/>
      <c r="AM63" s="207"/>
      <c r="AN63" s="215"/>
      <c r="AO63" s="215"/>
      <c r="AP63" s="215"/>
      <c r="AQ63" s="215"/>
    </row>
    <row r="64" spans="1:43" x14ac:dyDescent="0.2">
      <c r="A64" s="133" t="s">
        <v>40</v>
      </c>
      <c r="B64" s="133" t="s">
        <v>45</v>
      </c>
      <c r="C64" s="133" t="s">
        <v>36</v>
      </c>
      <c r="D64" s="133" t="s">
        <v>357</v>
      </c>
      <c r="E64" s="133" t="s">
        <v>357</v>
      </c>
      <c r="F64" s="135" t="str">
        <f t="shared" si="0"/>
        <v>0510010000</v>
      </c>
      <c r="G64" s="134" t="s">
        <v>424</v>
      </c>
      <c r="H64" s="11" t="str">
        <f t="shared" si="3"/>
        <v>TERRENOS - R0510010000</v>
      </c>
      <c r="I64" s="169" t="str">
        <f t="shared" si="4"/>
        <v/>
      </c>
      <c r="J64" s="172"/>
      <c r="K64" s="167"/>
      <c r="L64" s="172"/>
      <c r="M64" s="172"/>
      <c r="N64" s="172"/>
      <c r="O64" s="172"/>
      <c r="P64" s="177" t="str">
        <f t="shared" si="6"/>
        <v/>
      </c>
      <c r="Q64" s="180"/>
      <c r="R64" s="175"/>
      <c r="S64" s="180"/>
      <c r="T64" s="180"/>
      <c r="U64" s="180"/>
      <c r="V64" s="180"/>
      <c r="W64" s="183" t="str">
        <f t="shared" si="7"/>
        <v/>
      </c>
      <c r="X64" s="186"/>
      <c r="Y64" s="181"/>
      <c r="Z64" s="186"/>
      <c r="AA64" s="186"/>
      <c r="AB64" s="186"/>
      <c r="AC64" s="186"/>
      <c r="AD64" s="218" t="str">
        <f t="shared" si="8"/>
        <v/>
      </c>
      <c r="AE64" s="204"/>
      <c r="AF64" s="198"/>
      <c r="AG64" s="204"/>
      <c r="AH64" s="204"/>
      <c r="AI64" s="204"/>
      <c r="AJ64" s="204"/>
      <c r="AK64" s="209" t="str">
        <f t="shared" si="11"/>
        <v/>
      </c>
      <c r="AL64" s="215"/>
      <c r="AM64" s="207"/>
      <c r="AN64" s="215"/>
      <c r="AO64" s="215"/>
      <c r="AP64" s="215"/>
      <c r="AQ64" s="215"/>
    </row>
    <row r="65" spans="1:43" x14ac:dyDescent="0.2">
      <c r="A65" s="133" t="s">
        <v>40</v>
      </c>
      <c r="B65" s="133" t="s">
        <v>45</v>
      </c>
      <c r="C65" s="133" t="s">
        <v>37</v>
      </c>
      <c r="D65" s="133" t="s">
        <v>357</v>
      </c>
      <c r="E65" s="133" t="s">
        <v>357</v>
      </c>
      <c r="F65" s="135" t="str">
        <f t="shared" si="0"/>
        <v>0510020000</v>
      </c>
      <c r="G65" s="134" t="s">
        <v>429</v>
      </c>
      <c r="H65" s="11" t="str">
        <f t="shared" si="3"/>
        <v>ATIVOS NO SUBSOLO - R0510020000</v>
      </c>
      <c r="I65" s="169" t="str">
        <f t="shared" si="4"/>
        <v/>
      </c>
      <c r="J65" s="172"/>
      <c r="K65" s="167"/>
      <c r="L65" s="172"/>
      <c r="M65" s="172"/>
      <c r="N65" s="172"/>
      <c r="O65" s="172"/>
      <c r="P65" s="177" t="str">
        <f t="shared" si="6"/>
        <v/>
      </c>
      <c r="Q65" s="180"/>
      <c r="R65" s="175"/>
      <c r="S65" s="180"/>
      <c r="T65" s="180"/>
      <c r="U65" s="180"/>
      <c r="V65" s="180"/>
      <c r="W65" s="183" t="str">
        <f t="shared" si="7"/>
        <v/>
      </c>
      <c r="X65" s="186"/>
      <c r="Y65" s="181"/>
      <c r="Z65" s="186"/>
      <c r="AA65" s="186"/>
      <c r="AB65" s="186"/>
      <c r="AC65" s="186"/>
      <c r="AD65" s="218" t="str">
        <f t="shared" si="8"/>
        <v/>
      </c>
      <c r="AE65" s="204"/>
      <c r="AF65" s="198"/>
      <c r="AG65" s="204"/>
      <c r="AH65" s="204"/>
      <c r="AI65" s="204"/>
      <c r="AJ65" s="204"/>
      <c r="AK65" s="209" t="str">
        <f t="shared" si="11"/>
        <v/>
      </c>
      <c r="AL65" s="215"/>
      <c r="AM65" s="207"/>
      <c r="AN65" s="215"/>
      <c r="AO65" s="215"/>
      <c r="AP65" s="215"/>
      <c r="AQ65" s="215"/>
    </row>
    <row r="66" spans="1:43" x14ac:dyDescent="0.2">
      <c r="A66" s="133" t="s">
        <v>40</v>
      </c>
      <c r="B66" s="133" t="s">
        <v>45</v>
      </c>
      <c r="C66" s="133" t="s">
        <v>38</v>
      </c>
      <c r="D66" s="133" t="s">
        <v>357</v>
      </c>
      <c r="E66" s="133" t="s">
        <v>357</v>
      </c>
      <c r="F66" s="135" t="str">
        <f t="shared" ref="F66:F129" si="18">_xlfn.CONCAT(A66:E66)</f>
        <v>0510030000</v>
      </c>
      <c r="G66" s="134" t="s">
        <v>425</v>
      </c>
      <c r="H66" s="11" t="str">
        <f t="shared" si="3"/>
        <v>HABITAÇÕES - R0510030000</v>
      </c>
      <c r="I66" s="169" t="str">
        <f t="shared" si="4"/>
        <v/>
      </c>
      <c r="J66" s="172"/>
      <c r="K66" s="167"/>
      <c r="L66" s="172"/>
      <c r="M66" s="172"/>
      <c r="N66" s="172"/>
      <c r="O66" s="172"/>
      <c r="P66" s="177" t="str">
        <f t="shared" si="6"/>
        <v/>
      </c>
      <c r="Q66" s="180"/>
      <c r="R66" s="175"/>
      <c r="S66" s="180"/>
      <c r="T66" s="180"/>
      <c r="U66" s="180"/>
      <c r="V66" s="180"/>
      <c r="W66" s="183" t="str">
        <f t="shared" si="7"/>
        <v/>
      </c>
      <c r="X66" s="186"/>
      <c r="Y66" s="181"/>
      <c r="Z66" s="186"/>
      <c r="AA66" s="186"/>
      <c r="AB66" s="186"/>
      <c r="AC66" s="186"/>
      <c r="AD66" s="218" t="str">
        <f t="shared" si="8"/>
        <v/>
      </c>
      <c r="AE66" s="204"/>
      <c r="AF66" s="198"/>
      <c r="AG66" s="204"/>
      <c r="AH66" s="204"/>
      <c r="AI66" s="204"/>
      <c r="AJ66" s="204"/>
      <c r="AK66" s="209" t="str">
        <f t="shared" si="11"/>
        <v/>
      </c>
      <c r="AL66" s="215"/>
      <c r="AM66" s="207"/>
      <c r="AN66" s="215"/>
      <c r="AO66" s="215"/>
      <c r="AP66" s="215"/>
      <c r="AQ66" s="215"/>
    </row>
    <row r="67" spans="1:43" x14ac:dyDescent="0.2">
      <c r="A67" s="133" t="s">
        <v>40</v>
      </c>
      <c r="B67" s="133" t="s">
        <v>45</v>
      </c>
      <c r="C67" s="133" t="s">
        <v>39</v>
      </c>
      <c r="D67" s="133" t="s">
        <v>357</v>
      </c>
      <c r="E67" s="133" t="s">
        <v>357</v>
      </c>
      <c r="F67" s="135" t="str">
        <f t="shared" si="18"/>
        <v>0510040000</v>
      </c>
      <c r="G67" s="134" t="s">
        <v>433</v>
      </c>
      <c r="H67" s="11" t="str">
        <f t="shared" ref="H67:H130" si="19">G67&amp;" - R"&amp;F67</f>
        <v>EDIFÍCIOS - R0510040000</v>
      </c>
      <c r="I67" s="169" t="str">
        <f t="shared" ref="I67:I130" si="20">IF($C67="00","",IF($B67="00","",IF($A67=$K$3,ROW($A67),"")))</f>
        <v/>
      </c>
      <c r="J67" s="172"/>
      <c r="K67" s="167"/>
      <c r="L67" s="172"/>
      <c r="M67" s="172"/>
      <c r="N67" s="172"/>
      <c r="O67" s="172"/>
      <c r="P67" s="177" t="str">
        <f t="shared" ref="P67:P130" si="21">IF($C67="00","",IF($B67="00","",IF($A67=$R$3,ROW($A67),"")))</f>
        <v/>
      </c>
      <c r="Q67" s="180"/>
      <c r="R67" s="175"/>
      <c r="S67" s="180"/>
      <c r="T67" s="180"/>
      <c r="U67" s="180"/>
      <c r="V67" s="180"/>
      <c r="W67" s="183" t="str">
        <f t="shared" ref="W67:W130" si="22">IF($C67="00","",IF($B67="00","",IF($A67=$Y$3,ROW($A67),"")))</f>
        <v/>
      </c>
      <c r="X67" s="186"/>
      <c r="Y67" s="181"/>
      <c r="Z67" s="186"/>
      <c r="AA67" s="186"/>
      <c r="AB67" s="186"/>
      <c r="AC67" s="186"/>
      <c r="AD67" s="218" t="str">
        <f t="shared" ref="AD67:AD130" si="23">IF($C67="00","",IF($B67="00","",IF($A67=$AF$3,ROW($A67),"")))</f>
        <v/>
      </c>
      <c r="AE67" s="204"/>
      <c r="AF67" s="198"/>
      <c r="AG67" s="204"/>
      <c r="AH67" s="204"/>
      <c r="AI67" s="204"/>
      <c r="AJ67" s="204"/>
      <c r="AK67" s="209" t="str">
        <f t="shared" ref="AK67:AK130" si="24">IF($C67="00","",IF($B67="00","",IF($A67=$AM$3,ROW($A67),"")))</f>
        <v/>
      </c>
      <c r="AL67" s="215"/>
      <c r="AM67" s="207"/>
      <c r="AN67" s="215"/>
      <c r="AO67" s="215"/>
      <c r="AP67" s="215"/>
      <c r="AQ67" s="215"/>
    </row>
    <row r="68" spans="1:43" x14ac:dyDescent="0.2">
      <c r="A68" s="133" t="s">
        <v>40</v>
      </c>
      <c r="B68" s="133" t="s">
        <v>45</v>
      </c>
      <c r="C68" s="133" t="s">
        <v>40</v>
      </c>
      <c r="D68" s="133" t="s">
        <v>357</v>
      </c>
      <c r="E68" s="133" t="s">
        <v>357</v>
      </c>
      <c r="F68" s="135" t="str">
        <f t="shared" si="18"/>
        <v>0510050000</v>
      </c>
      <c r="G68" s="134" t="s">
        <v>421</v>
      </c>
      <c r="H68" s="11" t="str">
        <f t="shared" si="19"/>
        <v>BENS DE DOMÍNIO PUBLICO - R0510050000</v>
      </c>
      <c r="I68" s="169" t="str">
        <f t="shared" si="20"/>
        <v/>
      </c>
      <c r="J68" s="172"/>
      <c r="K68" s="167"/>
      <c r="L68" s="172"/>
      <c r="M68" s="172"/>
      <c r="N68" s="172"/>
      <c r="O68" s="172"/>
      <c r="P68" s="177" t="str">
        <f t="shared" si="21"/>
        <v/>
      </c>
      <c r="Q68" s="180"/>
      <c r="R68" s="175"/>
      <c r="S68" s="180"/>
      <c r="T68" s="180"/>
      <c r="U68" s="180"/>
      <c r="V68" s="180"/>
      <c r="W68" s="183" t="str">
        <f t="shared" si="22"/>
        <v/>
      </c>
      <c r="X68" s="186"/>
      <c r="Y68" s="181"/>
      <c r="Z68" s="186"/>
      <c r="AA68" s="186"/>
      <c r="AB68" s="186"/>
      <c r="AC68" s="186"/>
      <c r="AD68" s="218" t="str">
        <f t="shared" si="23"/>
        <v/>
      </c>
      <c r="AE68" s="204"/>
      <c r="AF68" s="198"/>
      <c r="AG68" s="204"/>
      <c r="AH68" s="204"/>
      <c r="AI68" s="204"/>
      <c r="AJ68" s="204"/>
      <c r="AK68" s="209" t="str">
        <f t="shared" si="24"/>
        <v/>
      </c>
      <c r="AL68" s="215"/>
      <c r="AM68" s="207"/>
      <c r="AN68" s="215"/>
      <c r="AO68" s="215"/>
      <c r="AP68" s="215"/>
      <c r="AQ68" s="215"/>
    </row>
    <row r="69" spans="1:43" x14ac:dyDescent="0.2">
      <c r="A69" s="133" t="s">
        <v>40</v>
      </c>
      <c r="B69" s="133" t="s">
        <v>45</v>
      </c>
      <c r="C69" s="133" t="s">
        <v>329</v>
      </c>
      <c r="D69" s="133" t="s">
        <v>357</v>
      </c>
      <c r="E69" s="133" t="s">
        <v>357</v>
      </c>
      <c r="F69" s="135" t="str">
        <f t="shared" si="18"/>
        <v>0510990000</v>
      </c>
      <c r="G69" s="134" t="s">
        <v>377</v>
      </c>
      <c r="H69" s="11" t="str">
        <f t="shared" si="19"/>
        <v>OUTROS - R0510990000</v>
      </c>
      <c r="I69" s="169" t="str">
        <f t="shared" si="20"/>
        <v/>
      </c>
      <c r="J69" s="172"/>
      <c r="K69" s="167"/>
      <c r="L69" s="172"/>
      <c r="M69" s="172"/>
      <c r="N69" s="172"/>
      <c r="O69" s="172"/>
      <c r="P69" s="177" t="str">
        <f t="shared" si="21"/>
        <v/>
      </c>
      <c r="Q69" s="180"/>
      <c r="R69" s="175"/>
      <c r="S69" s="180"/>
      <c r="T69" s="180"/>
      <c r="U69" s="180"/>
      <c r="V69" s="180"/>
      <c r="W69" s="183" t="str">
        <f t="shared" si="22"/>
        <v/>
      </c>
      <c r="X69" s="186"/>
      <c r="Y69" s="181"/>
      <c r="Z69" s="186"/>
      <c r="AA69" s="186"/>
      <c r="AB69" s="186"/>
      <c r="AC69" s="186"/>
      <c r="AD69" s="218" t="str">
        <f t="shared" si="23"/>
        <v/>
      </c>
      <c r="AE69" s="204"/>
      <c r="AF69" s="198"/>
      <c r="AG69" s="204"/>
      <c r="AH69" s="204"/>
      <c r="AI69" s="204"/>
      <c r="AJ69" s="204"/>
      <c r="AK69" s="209" t="str">
        <f t="shared" si="24"/>
        <v/>
      </c>
      <c r="AL69" s="215"/>
      <c r="AM69" s="207"/>
      <c r="AN69" s="215"/>
      <c r="AO69" s="215"/>
      <c r="AP69" s="215"/>
      <c r="AQ69" s="215"/>
    </row>
    <row r="70" spans="1:43" x14ac:dyDescent="0.2">
      <c r="A70" s="133" t="s">
        <v>40</v>
      </c>
      <c r="B70" s="133" t="s">
        <v>288</v>
      </c>
      <c r="C70" s="133" t="s">
        <v>36</v>
      </c>
      <c r="D70" s="133" t="s">
        <v>357</v>
      </c>
      <c r="E70" s="133" t="s">
        <v>357</v>
      </c>
      <c r="F70" s="135" t="str">
        <f t="shared" si="18"/>
        <v>0511010000</v>
      </c>
      <c r="G70" s="134" t="s">
        <v>426</v>
      </c>
      <c r="H70" s="11" t="str">
        <f t="shared" si="19"/>
        <v>ATIVOS INCORPÓREOS - R0511010000</v>
      </c>
      <c r="I70" s="169" t="str">
        <f t="shared" si="20"/>
        <v/>
      </c>
      <c r="J70" s="172"/>
      <c r="K70" s="167"/>
      <c r="L70" s="172"/>
      <c r="M70" s="172"/>
      <c r="N70" s="172"/>
      <c r="O70" s="172"/>
      <c r="P70" s="177" t="str">
        <f t="shared" si="21"/>
        <v/>
      </c>
      <c r="Q70" s="180"/>
      <c r="R70" s="175"/>
      <c r="S70" s="180"/>
      <c r="T70" s="180"/>
      <c r="U70" s="180"/>
      <c r="V70" s="180"/>
      <c r="W70" s="183" t="str">
        <f t="shared" si="22"/>
        <v/>
      </c>
      <c r="X70" s="186"/>
      <c r="Y70" s="181"/>
      <c r="Z70" s="186"/>
      <c r="AA70" s="186"/>
      <c r="AB70" s="186"/>
      <c r="AC70" s="186"/>
      <c r="AD70" s="218" t="str">
        <f t="shared" si="23"/>
        <v/>
      </c>
      <c r="AE70" s="204"/>
      <c r="AF70" s="198"/>
      <c r="AG70" s="204"/>
      <c r="AH70" s="204"/>
      <c r="AI70" s="204"/>
      <c r="AJ70" s="204"/>
      <c r="AK70" s="209" t="str">
        <f t="shared" si="24"/>
        <v/>
      </c>
      <c r="AL70" s="215"/>
      <c r="AM70" s="207"/>
      <c r="AN70" s="215"/>
      <c r="AO70" s="215"/>
      <c r="AP70" s="215"/>
      <c r="AQ70" s="215"/>
    </row>
    <row r="71" spans="1:43" x14ac:dyDescent="0.2">
      <c r="A71" s="133" t="s">
        <v>41</v>
      </c>
      <c r="B71" s="133" t="s">
        <v>36</v>
      </c>
      <c r="C71" s="133" t="s">
        <v>36</v>
      </c>
      <c r="D71" s="133" t="s">
        <v>357</v>
      </c>
      <c r="E71" s="133" t="s">
        <v>357</v>
      </c>
      <c r="F71" s="135" t="str">
        <f t="shared" si="18"/>
        <v>0601010000</v>
      </c>
      <c r="G71" s="134" t="s">
        <v>423</v>
      </c>
      <c r="H71" s="11" t="str">
        <f t="shared" si="19"/>
        <v>PUBLICAS - R0601010000</v>
      </c>
      <c r="I71" s="169" t="str">
        <f t="shared" si="20"/>
        <v/>
      </c>
      <c r="J71" s="172"/>
      <c r="K71" s="167"/>
      <c r="L71" s="172"/>
      <c r="M71" s="172"/>
      <c r="N71" s="172"/>
      <c r="O71" s="172"/>
      <c r="P71" s="177" t="str">
        <f t="shared" si="21"/>
        <v/>
      </c>
      <c r="Q71" s="180"/>
      <c r="R71" s="175"/>
      <c r="S71" s="180"/>
      <c r="T71" s="180"/>
      <c r="U71" s="180"/>
      <c r="V71" s="180"/>
      <c r="W71" s="183" t="str">
        <f t="shared" si="22"/>
        <v/>
      </c>
      <c r="X71" s="186"/>
      <c r="Y71" s="181"/>
      <c r="Z71" s="186"/>
      <c r="AA71" s="186"/>
      <c r="AB71" s="186"/>
      <c r="AC71" s="186"/>
      <c r="AD71" s="218" t="str">
        <f t="shared" si="23"/>
        <v/>
      </c>
      <c r="AE71" s="204"/>
      <c r="AF71" s="198"/>
      <c r="AG71" s="204"/>
      <c r="AH71" s="204"/>
      <c r="AI71" s="204"/>
      <c r="AJ71" s="204"/>
      <c r="AK71" s="209" t="str">
        <f t="shared" si="24"/>
        <v/>
      </c>
      <c r="AL71" s="215"/>
      <c r="AM71" s="207"/>
      <c r="AN71" s="215"/>
      <c r="AO71" s="215"/>
      <c r="AP71" s="215"/>
      <c r="AQ71" s="215"/>
    </row>
    <row r="72" spans="1:43" x14ac:dyDescent="0.2">
      <c r="A72" s="133" t="s">
        <v>41</v>
      </c>
      <c r="B72" s="133" t="s">
        <v>36</v>
      </c>
      <c r="C72" s="133" t="s">
        <v>37</v>
      </c>
      <c r="D72" s="133" t="s">
        <v>357</v>
      </c>
      <c r="E72" s="133" t="s">
        <v>357</v>
      </c>
      <c r="F72" s="135" t="str">
        <f t="shared" si="18"/>
        <v>0601020000</v>
      </c>
      <c r="G72" s="134" t="s">
        <v>420</v>
      </c>
      <c r="H72" s="11" t="str">
        <f t="shared" si="19"/>
        <v>PRIVADAS - R0601020000</v>
      </c>
      <c r="I72" s="169" t="str">
        <f t="shared" si="20"/>
        <v/>
      </c>
      <c r="J72" s="172"/>
      <c r="K72" s="167"/>
      <c r="L72" s="172"/>
      <c r="M72" s="172"/>
      <c r="N72" s="172"/>
      <c r="O72" s="172"/>
      <c r="P72" s="177" t="str">
        <f t="shared" si="21"/>
        <v/>
      </c>
      <c r="Q72" s="180"/>
      <c r="R72" s="175"/>
      <c r="S72" s="180"/>
      <c r="T72" s="180"/>
      <c r="U72" s="180"/>
      <c r="V72" s="180"/>
      <c r="W72" s="183" t="str">
        <f t="shared" si="22"/>
        <v/>
      </c>
      <c r="X72" s="186"/>
      <c r="Y72" s="181"/>
      <c r="Z72" s="186"/>
      <c r="AA72" s="186"/>
      <c r="AB72" s="186"/>
      <c r="AC72" s="186"/>
      <c r="AD72" s="218" t="str">
        <f t="shared" si="23"/>
        <v/>
      </c>
      <c r="AE72" s="204"/>
      <c r="AF72" s="198"/>
      <c r="AG72" s="204"/>
      <c r="AH72" s="204"/>
      <c r="AI72" s="204"/>
      <c r="AJ72" s="204"/>
      <c r="AK72" s="209" t="str">
        <f t="shared" si="24"/>
        <v/>
      </c>
      <c r="AL72" s="215"/>
      <c r="AM72" s="207"/>
      <c r="AN72" s="215"/>
      <c r="AO72" s="215"/>
      <c r="AP72" s="215"/>
      <c r="AQ72" s="215"/>
    </row>
    <row r="73" spans="1:43" x14ac:dyDescent="0.2">
      <c r="A73" s="133" t="s">
        <v>41</v>
      </c>
      <c r="B73" s="133" t="s">
        <v>38</v>
      </c>
      <c r="C73" s="133" t="s">
        <v>36</v>
      </c>
      <c r="D73" s="133" t="s">
        <v>357</v>
      </c>
      <c r="E73" s="133" t="s">
        <v>357</v>
      </c>
      <c r="F73" s="135" t="str">
        <f t="shared" si="18"/>
        <v>0603010000</v>
      </c>
      <c r="G73" s="134" t="s">
        <v>438</v>
      </c>
      <c r="H73" s="11" t="str">
        <f t="shared" si="19"/>
        <v>ESTADO - R0603010000</v>
      </c>
      <c r="I73" s="169" t="str">
        <f t="shared" si="20"/>
        <v/>
      </c>
      <c r="J73" s="172"/>
      <c r="K73" s="167"/>
      <c r="L73" s="172"/>
      <c r="M73" s="172"/>
      <c r="N73" s="172"/>
      <c r="O73" s="172"/>
      <c r="P73" s="177" t="str">
        <f t="shared" si="21"/>
        <v/>
      </c>
      <c r="Q73" s="180"/>
      <c r="R73" s="175"/>
      <c r="S73" s="180"/>
      <c r="T73" s="180"/>
      <c r="U73" s="180"/>
      <c r="V73" s="180"/>
      <c r="W73" s="183" t="str">
        <f t="shared" si="22"/>
        <v/>
      </c>
      <c r="X73" s="186"/>
      <c r="Y73" s="181"/>
      <c r="Z73" s="186"/>
      <c r="AA73" s="186"/>
      <c r="AB73" s="186"/>
      <c r="AC73" s="186"/>
      <c r="AD73" s="218" t="str">
        <f t="shared" si="23"/>
        <v/>
      </c>
      <c r="AE73" s="204"/>
      <c r="AF73" s="198"/>
      <c r="AG73" s="204"/>
      <c r="AH73" s="204"/>
      <c r="AI73" s="204"/>
      <c r="AJ73" s="204"/>
      <c r="AK73" s="209" t="str">
        <f t="shared" si="24"/>
        <v/>
      </c>
      <c r="AL73" s="215"/>
      <c r="AM73" s="207"/>
      <c r="AN73" s="215"/>
      <c r="AO73" s="215"/>
      <c r="AP73" s="215"/>
      <c r="AQ73" s="215"/>
    </row>
    <row r="74" spans="1:43" x14ac:dyDescent="0.2">
      <c r="A74" s="133" t="s">
        <v>41</v>
      </c>
      <c r="B74" s="133" t="s">
        <v>38</v>
      </c>
      <c r="C74" s="133" t="s">
        <v>42</v>
      </c>
      <c r="D74" s="133" t="s">
        <v>357</v>
      </c>
      <c r="E74" s="133" t="s">
        <v>357</v>
      </c>
      <c r="F74" s="135" t="str">
        <f t="shared" si="18"/>
        <v>0603070000</v>
      </c>
      <c r="G74" s="134" t="s">
        <v>436</v>
      </c>
      <c r="H74" s="11" t="str">
        <f t="shared" si="19"/>
        <v>SERVIÇOS E FUNDOS AUTÓNOMOS - R0603070000</v>
      </c>
      <c r="I74" s="169" t="str">
        <f t="shared" si="20"/>
        <v/>
      </c>
      <c r="J74" s="172"/>
      <c r="K74" s="167"/>
      <c r="L74" s="172"/>
      <c r="M74" s="172"/>
      <c r="N74" s="172"/>
      <c r="O74" s="172"/>
      <c r="P74" s="177" t="str">
        <f t="shared" si="21"/>
        <v/>
      </c>
      <c r="Q74" s="180"/>
      <c r="R74" s="175"/>
      <c r="S74" s="180"/>
      <c r="T74" s="180"/>
      <c r="U74" s="180"/>
      <c r="V74" s="180"/>
      <c r="W74" s="183" t="str">
        <f t="shared" si="22"/>
        <v/>
      </c>
      <c r="X74" s="186"/>
      <c r="Y74" s="181"/>
      <c r="Z74" s="186"/>
      <c r="AA74" s="186"/>
      <c r="AB74" s="186"/>
      <c r="AC74" s="186"/>
      <c r="AD74" s="218" t="str">
        <f t="shared" si="23"/>
        <v/>
      </c>
      <c r="AE74" s="204"/>
      <c r="AF74" s="198"/>
      <c r="AG74" s="204"/>
      <c r="AH74" s="204"/>
      <c r="AI74" s="204"/>
      <c r="AJ74" s="204"/>
      <c r="AK74" s="209" t="str">
        <f t="shared" si="24"/>
        <v/>
      </c>
      <c r="AL74" s="215"/>
      <c r="AM74" s="207"/>
      <c r="AN74" s="215"/>
      <c r="AO74" s="215"/>
      <c r="AP74" s="215"/>
      <c r="AQ74" s="215"/>
    </row>
    <row r="75" spans="1:43" x14ac:dyDescent="0.2">
      <c r="A75" s="133" t="s">
        <v>41</v>
      </c>
      <c r="B75" s="133" t="s">
        <v>40</v>
      </c>
      <c r="C75" s="133" t="s">
        <v>37</v>
      </c>
      <c r="D75" s="133" t="s">
        <v>357</v>
      </c>
      <c r="E75" s="133" t="s">
        <v>357</v>
      </c>
      <c r="F75" s="135" t="str">
        <f t="shared" si="18"/>
        <v>0605020000</v>
      </c>
      <c r="G75" s="134" t="s">
        <v>439</v>
      </c>
      <c r="H75" s="11" t="str">
        <f t="shared" si="19"/>
        <v>REGIÃO AUTÓNOMA DOS ACORES - R0605020000</v>
      </c>
      <c r="I75" s="169" t="str">
        <f t="shared" si="20"/>
        <v/>
      </c>
      <c r="J75" s="172"/>
      <c r="K75" s="167"/>
      <c r="L75" s="172"/>
      <c r="M75" s="172"/>
      <c r="N75" s="172"/>
      <c r="O75" s="172"/>
      <c r="P75" s="177" t="str">
        <f t="shared" si="21"/>
        <v/>
      </c>
      <c r="Q75" s="180"/>
      <c r="R75" s="175"/>
      <c r="S75" s="180"/>
      <c r="T75" s="180"/>
      <c r="U75" s="180"/>
      <c r="V75" s="180"/>
      <c r="W75" s="183" t="str">
        <f t="shared" si="22"/>
        <v/>
      </c>
      <c r="X75" s="186"/>
      <c r="Y75" s="181"/>
      <c r="Z75" s="186"/>
      <c r="AA75" s="186"/>
      <c r="AB75" s="186"/>
      <c r="AC75" s="186"/>
      <c r="AD75" s="218" t="str">
        <f t="shared" si="23"/>
        <v/>
      </c>
      <c r="AE75" s="204"/>
      <c r="AF75" s="198"/>
      <c r="AG75" s="204"/>
      <c r="AH75" s="204"/>
      <c r="AI75" s="204"/>
      <c r="AJ75" s="204"/>
      <c r="AK75" s="209" t="str">
        <f t="shared" si="24"/>
        <v/>
      </c>
      <c r="AL75" s="215"/>
      <c r="AM75" s="207"/>
      <c r="AN75" s="215"/>
      <c r="AO75" s="215"/>
      <c r="AP75" s="215"/>
      <c r="AQ75" s="215"/>
    </row>
    <row r="76" spans="1:43" x14ac:dyDescent="0.2">
      <c r="A76" s="133" t="s">
        <v>41</v>
      </c>
      <c r="B76" s="133" t="s">
        <v>41</v>
      </c>
      <c r="C76" s="133" t="s">
        <v>36</v>
      </c>
      <c r="D76" s="133" t="s">
        <v>357</v>
      </c>
      <c r="E76" s="133" t="s">
        <v>357</v>
      </c>
      <c r="F76" s="135" t="str">
        <f t="shared" si="18"/>
        <v>0606010000</v>
      </c>
      <c r="G76" s="134" t="s">
        <v>440</v>
      </c>
      <c r="H76" s="11" t="str">
        <f t="shared" si="19"/>
        <v>SISTEMA DE SOLIDARIEDADE E SEGURANÇA SOCIAL - R0606010000</v>
      </c>
      <c r="I76" s="169" t="str">
        <f t="shared" si="20"/>
        <v/>
      </c>
      <c r="J76" s="172"/>
      <c r="K76" s="167"/>
      <c r="L76" s="172"/>
      <c r="M76" s="172"/>
      <c r="N76" s="172"/>
      <c r="O76" s="172"/>
      <c r="P76" s="177" t="str">
        <f t="shared" si="21"/>
        <v/>
      </c>
      <c r="Q76" s="180"/>
      <c r="R76" s="175"/>
      <c r="S76" s="180"/>
      <c r="T76" s="180"/>
      <c r="U76" s="180"/>
      <c r="V76" s="180"/>
      <c r="W76" s="183" t="str">
        <f t="shared" si="22"/>
        <v/>
      </c>
      <c r="X76" s="186"/>
      <c r="Y76" s="181"/>
      <c r="Z76" s="186"/>
      <c r="AA76" s="186"/>
      <c r="AB76" s="186"/>
      <c r="AC76" s="186"/>
      <c r="AD76" s="218" t="str">
        <f t="shared" si="23"/>
        <v/>
      </c>
      <c r="AE76" s="204"/>
      <c r="AF76" s="198"/>
      <c r="AG76" s="204"/>
      <c r="AH76" s="204"/>
      <c r="AI76" s="204"/>
      <c r="AJ76" s="204"/>
      <c r="AK76" s="209" t="str">
        <f t="shared" si="24"/>
        <v/>
      </c>
      <c r="AL76" s="215"/>
      <c r="AM76" s="207"/>
      <c r="AN76" s="215"/>
      <c r="AO76" s="215"/>
      <c r="AP76" s="215"/>
      <c r="AQ76" s="215"/>
    </row>
    <row r="77" spans="1:43" x14ac:dyDescent="0.2">
      <c r="A77" s="133" t="s">
        <v>41</v>
      </c>
      <c r="B77" s="133" t="s">
        <v>42</v>
      </c>
      <c r="C77" s="133" t="s">
        <v>36</v>
      </c>
      <c r="D77" s="133" t="s">
        <v>357</v>
      </c>
      <c r="E77" s="133" t="s">
        <v>357</v>
      </c>
      <c r="F77" s="135" t="str">
        <f t="shared" si="18"/>
        <v>0607010000</v>
      </c>
      <c r="G77" s="134" t="s">
        <v>435</v>
      </c>
      <c r="H77" s="11" t="str">
        <f t="shared" si="19"/>
        <v>INSTITUIÇÕES S/ FINS LUCRATIVOS - R0607010000</v>
      </c>
      <c r="I77" s="169" t="str">
        <f t="shared" si="20"/>
        <v/>
      </c>
      <c r="J77" s="172"/>
      <c r="K77" s="167"/>
      <c r="L77" s="172"/>
      <c r="M77" s="172"/>
      <c r="N77" s="172"/>
      <c r="O77" s="172"/>
      <c r="P77" s="177" t="str">
        <f t="shared" si="21"/>
        <v/>
      </c>
      <c r="Q77" s="180"/>
      <c r="R77" s="175"/>
      <c r="S77" s="180"/>
      <c r="T77" s="180"/>
      <c r="U77" s="180"/>
      <c r="V77" s="180"/>
      <c r="W77" s="183" t="str">
        <f t="shared" si="22"/>
        <v/>
      </c>
      <c r="X77" s="186"/>
      <c r="Y77" s="181"/>
      <c r="Z77" s="186"/>
      <c r="AA77" s="186"/>
      <c r="AB77" s="186"/>
      <c r="AC77" s="186"/>
      <c r="AD77" s="218" t="str">
        <f t="shared" si="23"/>
        <v/>
      </c>
      <c r="AE77" s="204"/>
      <c r="AF77" s="198"/>
      <c r="AG77" s="204"/>
      <c r="AH77" s="204"/>
      <c r="AI77" s="204"/>
      <c r="AJ77" s="204"/>
      <c r="AK77" s="209" t="str">
        <f t="shared" si="24"/>
        <v/>
      </c>
      <c r="AL77" s="215"/>
      <c r="AM77" s="207"/>
      <c r="AN77" s="215"/>
      <c r="AO77" s="215"/>
      <c r="AP77" s="215"/>
      <c r="AQ77" s="215"/>
    </row>
    <row r="78" spans="1:43" x14ac:dyDescent="0.2">
      <c r="A78" s="133" t="s">
        <v>41</v>
      </c>
      <c r="B78" s="133" t="s">
        <v>44</v>
      </c>
      <c r="C78" s="133" t="s">
        <v>36</v>
      </c>
      <c r="D78" s="133" t="s">
        <v>357</v>
      </c>
      <c r="E78" s="133" t="s">
        <v>357</v>
      </c>
      <c r="F78" s="135" t="str">
        <f t="shared" si="18"/>
        <v>0609010000</v>
      </c>
      <c r="G78" s="134" t="s">
        <v>434</v>
      </c>
      <c r="H78" s="11" t="str">
        <f t="shared" si="19"/>
        <v>UNIÃO EUROPEIA - INSTITUIÇÕES - R0609010000</v>
      </c>
      <c r="I78" s="169" t="str">
        <f t="shared" si="20"/>
        <v/>
      </c>
      <c r="J78" s="172"/>
      <c r="K78" s="167"/>
      <c r="L78" s="172"/>
      <c r="M78" s="172"/>
      <c r="N78" s="172"/>
      <c r="O78" s="172"/>
      <c r="P78" s="177" t="str">
        <f t="shared" si="21"/>
        <v/>
      </c>
      <c r="Q78" s="180"/>
      <c r="R78" s="175"/>
      <c r="S78" s="180"/>
      <c r="T78" s="180"/>
      <c r="U78" s="180"/>
      <c r="V78" s="180"/>
      <c r="W78" s="183" t="str">
        <f t="shared" si="22"/>
        <v/>
      </c>
      <c r="X78" s="186"/>
      <c r="Y78" s="181"/>
      <c r="Z78" s="186"/>
      <c r="AA78" s="186"/>
      <c r="AB78" s="186"/>
      <c r="AC78" s="186"/>
      <c r="AD78" s="218" t="str">
        <f t="shared" si="23"/>
        <v/>
      </c>
      <c r="AE78" s="204"/>
      <c r="AF78" s="198"/>
      <c r="AG78" s="204"/>
      <c r="AH78" s="204"/>
      <c r="AI78" s="204"/>
      <c r="AJ78" s="204"/>
      <c r="AK78" s="209" t="str">
        <f t="shared" si="24"/>
        <v/>
      </c>
      <c r="AL78" s="215"/>
      <c r="AM78" s="207"/>
      <c r="AN78" s="215"/>
      <c r="AO78" s="215"/>
      <c r="AP78" s="215"/>
      <c r="AQ78" s="215"/>
    </row>
    <row r="79" spans="1:43" x14ac:dyDescent="0.2">
      <c r="A79" s="133" t="s">
        <v>41</v>
      </c>
      <c r="B79" s="133" t="s">
        <v>44</v>
      </c>
      <c r="C79" s="133" t="s">
        <v>40</v>
      </c>
      <c r="D79" s="133" t="s">
        <v>357</v>
      </c>
      <c r="E79" s="133" t="s">
        <v>357</v>
      </c>
      <c r="F79" s="135" t="str">
        <f t="shared" si="18"/>
        <v>0609050000</v>
      </c>
      <c r="G79" s="134" t="s">
        <v>437</v>
      </c>
      <c r="H79" s="11" t="str">
        <f t="shared" si="19"/>
        <v>PAÍSES TERCEIROS E ORGANIZAÇÕES INTERNACIONAIS - R0609050000</v>
      </c>
      <c r="I79" s="169" t="str">
        <f t="shared" si="20"/>
        <v/>
      </c>
      <c r="J79" s="172"/>
      <c r="K79" s="167"/>
      <c r="L79" s="172"/>
      <c r="M79" s="172"/>
      <c r="N79" s="172"/>
      <c r="O79" s="172"/>
      <c r="P79" s="177" t="str">
        <f t="shared" si="21"/>
        <v/>
      </c>
      <c r="Q79" s="180"/>
      <c r="R79" s="175"/>
      <c r="S79" s="180"/>
      <c r="T79" s="180"/>
      <c r="U79" s="180"/>
      <c r="V79" s="180"/>
      <c r="W79" s="183" t="str">
        <f t="shared" si="22"/>
        <v/>
      </c>
      <c r="X79" s="186"/>
      <c r="Y79" s="181"/>
      <c r="Z79" s="186"/>
      <c r="AA79" s="186"/>
      <c r="AB79" s="186"/>
      <c r="AC79" s="186"/>
      <c r="AD79" s="218" t="str">
        <f t="shared" si="23"/>
        <v/>
      </c>
      <c r="AE79" s="204"/>
      <c r="AF79" s="198"/>
      <c r="AG79" s="204"/>
      <c r="AH79" s="204"/>
      <c r="AI79" s="204"/>
      <c r="AJ79" s="204"/>
      <c r="AK79" s="209" t="str">
        <f t="shared" si="24"/>
        <v/>
      </c>
      <c r="AL79" s="215"/>
      <c r="AM79" s="207"/>
      <c r="AN79" s="215"/>
      <c r="AO79" s="215"/>
      <c r="AP79" s="215"/>
      <c r="AQ79" s="215"/>
    </row>
    <row r="80" spans="1:43" x14ac:dyDescent="0.2">
      <c r="A80" s="133" t="s">
        <v>42</v>
      </c>
      <c r="B80" s="133" t="s">
        <v>36</v>
      </c>
      <c r="C80" s="133" t="s">
        <v>36</v>
      </c>
      <c r="D80" s="133" t="s">
        <v>357</v>
      </c>
      <c r="E80" s="133" t="s">
        <v>357</v>
      </c>
      <c r="F80" s="135" t="str">
        <f t="shared" si="18"/>
        <v>0701010000</v>
      </c>
      <c r="G80" s="134" t="s">
        <v>452</v>
      </c>
      <c r="H80" s="11" t="str">
        <f t="shared" si="19"/>
        <v>MATERIAL DE ESCRITÓRIO - R0701010000</v>
      </c>
      <c r="I80" s="169" t="str">
        <f t="shared" si="20"/>
        <v/>
      </c>
      <c r="J80" s="172"/>
      <c r="K80" s="167"/>
      <c r="L80" s="172"/>
      <c r="M80" s="172"/>
      <c r="N80" s="172"/>
      <c r="O80" s="172"/>
      <c r="P80" s="177" t="str">
        <f t="shared" si="21"/>
        <v/>
      </c>
      <c r="Q80" s="180"/>
      <c r="R80" s="175"/>
      <c r="S80" s="180"/>
      <c r="T80" s="180"/>
      <c r="U80" s="180"/>
      <c r="V80" s="180"/>
      <c r="W80" s="183" t="str">
        <f t="shared" si="22"/>
        <v/>
      </c>
      <c r="X80" s="186"/>
      <c r="Y80" s="181"/>
      <c r="Z80" s="186"/>
      <c r="AA80" s="186"/>
      <c r="AB80" s="186"/>
      <c r="AC80" s="186"/>
      <c r="AD80" s="218" t="str">
        <f t="shared" si="23"/>
        <v/>
      </c>
      <c r="AE80" s="204"/>
      <c r="AF80" s="198"/>
      <c r="AG80" s="204"/>
      <c r="AH80" s="204"/>
      <c r="AI80" s="204"/>
      <c r="AJ80" s="204"/>
      <c r="AK80" s="209" t="str">
        <f t="shared" si="24"/>
        <v/>
      </c>
      <c r="AL80" s="215"/>
      <c r="AM80" s="207"/>
      <c r="AN80" s="215"/>
      <c r="AO80" s="215"/>
      <c r="AP80" s="215"/>
      <c r="AQ80" s="215"/>
    </row>
    <row r="81" spans="1:43" x14ac:dyDescent="0.2">
      <c r="A81" s="133" t="s">
        <v>42</v>
      </c>
      <c r="B81" s="133" t="s">
        <v>36</v>
      </c>
      <c r="C81" s="133" t="s">
        <v>37</v>
      </c>
      <c r="D81" s="133" t="s">
        <v>357</v>
      </c>
      <c r="E81" s="133" t="s">
        <v>357</v>
      </c>
      <c r="F81" s="135" t="str">
        <f t="shared" si="18"/>
        <v>0701020000</v>
      </c>
      <c r="G81" s="134" t="s">
        <v>445</v>
      </c>
      <c r="H81" s="11" t="str">
        <f t="shared" si="19"/>
        <v>LIVROS E DOCUMENTAÇÃO TÉCNICA - R0701020000</v>
      </c>
      <c r="I81" s="169" t="str">
        <f t="shared" si="20"/>
        <v/>
      </c>
      <c r="J81" s="172"/>
      <c r="K81" s="167"/>
      <c r="L81" s="172"/>
      <c r="M81" s="172"/>
      <c r="N81" s="172"/>
      <c r="O81" s="172"/>
      <c r="P81" s="177" t="str">
        <f t="shared" si="21"/>
        <v/>
      </c>
      <c r="Q81" s="180"/>
      <c r="R81" s="175"/>
      <c r="S81" s="180"/>
      <c r="T81" s="180"/>
      <c r="U81" s="180"/>
      <c r="V81" s="180"/>
      <c r="W81" s="183" t="str">
        <f t="shared" si="22"/>
        <v/>
      </c>
      <c r="X81" s="186"/>
      <c r="Y81" s="181"/>
      <c r="Z81" s="186"/>
      <c r="AA81" s="186"/>
      <c r="AB81" s="186"/>
      <c r="AC81" s="186"/>
      <c r="AD81" s="218" t="str">
        <f t="shared" si="23"/>
        <v/>
      </c>
      <c r="AE81" s="204"/>
      <c r="AF81" s="198"/>
      <c r="AG81" s="204"/>
      <c r="AH81" s="204"/>
      <c r="AI81" s="204"/>
      <c r="AJ81" s="204"/>
      <c r="AK81" s="209" t="str">
        <f t="shared" si="24"/>
        <v/>
      </c>
      <c r="AL81" s="215"/>
      <c r="AM81" s="207"/>
      <c r="AN81" s="215"/>
      <c r="AO81" s="215"/>
      <c r="AP81" s="215"/>
      <c r="AQ81" s="215"/>
    </row>
    <row r="82" spans="1:43" x14ac:dyDescent="0.2">
      <c r="A82" s="133" t="s">
        <v>42</v>
      </c>
      <c r="B82" s="133" t="s">
        <v>36</v>
      </c>
      <c r="C82" s="133" t="s">
        <v>38</v>
      </c>
      <c r="D82" s="133" t="s">
        <v>357</v>
      </c>
      <c r="E82" s="133" t="s">
        <v>357</v>
      </c>
      <c r="F82" s="135" t="str">
        <f t="shared" si="18"/>
        <v>0701030000</v>
      </c>
      <c r="G82" s="134" t="s">
        <v>451</v>
      </c>
      <c r="H82" s="11" t="str">
        <f t="shared" si="19"/>
        <v>PUBLICAÇÕES E IMPRESSOS - R0701030000</v>
      </c>
      <c r="I82" s="169" t="str">
        <f t="shared" si="20"/>
        <v/>
      </c>
      <c r="J82" s="172"/>
      <c r="K82" s="167"/>
      <c r="L82" s="172"/>
      <c r="M82" s="172"/>
      <c r="N82" s="172"/>
      <c r="O82" s="172"/>
      <c r="P82" s="177" t="str">
        <f t="shared" si="21"/>
        <v/>
      </c>
      <c r="Q82" s="180"/>
      <c r="R82" s="175"/>
      <c r="S82" s="180"/>
      <c r="T82" s="180"/>
      <c r="U82" s="180"/>
      <c r="V82" s="180"/>
      <c r="W82" s="183" t="str">
        <f t="shared" si="22"/>
        <v/>
      </c>
      <c r="X82" s="186"/>
      <c r="Y82" s="181"/>
      <c r="Z82" s="186"/>
      <c r="AA82" s="186"/>
      <c r="AB82" s="186"/>
      <c r="AC82" s="186"/>
      <c r="AD82" s="218" t="str">
        <f t="shared" si="23"/>
        <v/>
      </c>
      <c r="AE82" s="204"/>
      <c r="AF82" s="198"/>
      <c r="AG82" s="204"/>
      <c r="AH82" s="204"/>
      <c r="AI82" s="204"/>
      <c r="AJ82" s="204"/>
      <c r="AK82" s="209" t="str">
        <f t="shared" si="24"/>
        <v/>
      </c>
      <c r="AL82" s="215"/>
      <c r="AM82" s="207"/>
      <c r="AN82" s="215"/>
      <c r="AO82" s="215"/>
      <c r="AP82" s="215"/>
      <c r="AQ82" s="215"/>
    </row>
    <row r="83" spans="1:43" x14ac:dyDescent="0.2">
      <c r="A83" s="133" t="s">
        <v>42</v>
      </c>
      <c r="B83" s="133" t="s">
        <v>36</v>
      </c>
      <c r="C83" s="133" t="s">
        <v>39</v>
      </c>
      <c r="D83" s="133" t="s">
        <v>357</v>
      </c>
      <c r="E83" s="133" t="s">
        <v>357</v>
      </c>
      <c r="F83" s="135" t="str">
        <f t="shared" si="18"/>
        <v>0701040000</v>
      </c>
      <c r="G83" s="134" t="s">
        <v>447</v>
      </c>
      <c r="H83" s="11" t="str">
        <f t="shared" si="19"/>
        <v>FARDAMENTOS E ARTIGOS PESSOAIS - R0701040000</v>
      </c>
      <c r="I83" s="169" t="str">
        <f t="shared" si="20"/>
        <v/>
      </c>
      <c r="J83" s="172"/>
      <c r="K83" s="167"/>
      <c r="L83" s="172"/>
      <c r="M83" s="172"/>
      <c r="N83" s="172"/>
      <c r="O83" s="172"/>
      <c r="P83" s="177" t="str">
        <f t="shared" si="21"/>
        <v/>
      </c>
      <c r="Q83" s="180"/>
      <c r="R83" s="175"/>
      <c r="S83" s="180"/>
      <c r="T83" s="180"/>
      <c r="U83" s="180"/>
      <c r="V83" s="180"/>
      <c r="W83" s="183" t="str">
        <f t="shared" si="22"/>
        <v/>
      </c>
      <c r="X83" s="186"/>
      <c r="Y83" s="181"/>
      <c r="Z83" s="186"/>
      <c r="AA83" s="186"/>
      <c r="AB83" s="186"/>
      <c r="AC83" s="186"/>
      <c r="AD83" s="218" t="str">
        <f t="shared" si="23"/>
        <v/>
      </c>
      <c r="AE83" s="204"/>
      <c r="AF83" s="198"/>
      <c r="AG83" s="204"/>
      <c r="AH83" s="204"/>
      <c r="AI83" s="204"/>
      <c r="AJ83" s="204"/>
      <c r="AK83" s="209" t="str">
        <f t="shared" si="24"/>
        <v/>
      </c>
      <c r="AL83" s="215"/>
      <c r="AM83" s="207"/>
      <c r="AN83" s="215"/>
      <c r="AO83" s="215"/>
      <c r="AP83" s="215"/>
      <c r="AQ83" s="215"/>
    </row>
    <row r="84" spans="1:43" x14ac:dyDescent="0.2">
      <c r="A84" s="133" t="s">
        <v>42</v>
      </c>
      <c r="B84" s="133" t="s">
        <v>36</v>
      </c>
      <c r="C84" s="133" t="s">
        <v>40</v>
      </c>
      <c r="D84" s="133" t="s">
        <v>357</v>
      </c>
      <c r="E84" s="133" t="s">
        <v>357</v>
      </c>
      <c r="F84" s="135" t="str">
        <f t="shared" si="18"/>
        <v>0701050000</v>
      </c>
      <c r="G84" s="134" t="s">
        <v>450</v>
      </c>
      <c r="H84" s="11" t="str">
        <f t="shared" si="19"/>
        <v>BENS INUTILIZADOS - R0701050000</v>
      </c>
      <c r="I84" s="169" t="str">
        <f t="shared" si="20"/>
        <v/>
      </c>
      <c r="J84" s="172"/>
      <c r="K84" s="167"/>
      <c r="L84" s="172"/>
      <c r="M84" s="172"/>
      <c r="N84" s="172"/>
      <c r="O84" s="172"/>
      <c r="P84" s="177" t="str">
        <f t="shared" si="21"/>
        <v/>
      </c>
      <c r="Q84" s="180"/>
      <c r="R84" s="175"/>
      <c r="S84" s="180"/>
      <c r="T84" s="180"/>
      <c r="U84" s="180"/>
      <c r="V84" s="180"/>
      <c r="W84" s="183" t="str">
        <f t="shared" si="22"/>
        <v/>
      </c>
      <c r="X84" s="186"/>
      <c r="Y84" s="181"/>
      <c r="Z84" s="186"/>
      <c r="AA84" s="186"/>
      <c r="AB84" s="186"/>
      <c r="AC84" s="186"/>
      <c r="AD84" s="218" t="str">
        <f t="shared" si="23"/>
        <v/>
      </c>
      <c r="AE84" s="204"/>
      <c r="AF84" s="198"/>
      <c r="AG84" s="204"/>
      <c r="AH84" s="204"/>
      <c r="AI84" s="204"/>
      <c r="AJ84" s="204"/>
      <c r="AK84" s="209" t="str">
        <f t="shared" si="24"/>
        <v/>
      </c>
      <c r="AL84" s="215"/>
      <c r="AM84" s="207"/>
      <c r="AN84" s="215"/>
      <c r="AO84" s="215"/>
      <c r="AP84" s="215"/>
      <c r="AQ84" s="215"/>
    </row>
    <row r="85" spans="1:43" x14ac:dyDescent="0.2">
      <c r="A85" s="133" t="s">
        <v>42</v>
      </c>
      <c r="B85" s="133" t="s">
        <v>36</v>
      </c>
      <c r="C85" s="133" t="s">
        <v>41</v>
      </c>
      <c r="D85" s="133" t="s">
        <v>357</v>
      </c>
      <c r="E85" s="133" t="s">
        <v>357</v>
      </c>
      <c r="F85" s="135" t="str">
        <f t="shared" si="18"/>
        <v>0701060000</v>
      </c>
      <c r="G85" s="134" t="s">
        <v>455</v>
      </c>
      <c r="H85" s="11" t="str">
        <f t="shared" si="19"/>
        <v>PRODUTOS AGRÍCOLAS E PECUÁRIOS - R0701060000</v>
      </c>
      <c r="I85" s="169" t="str">
        <f t="shared" si="20"/>
        <v/>
      </c>
      <c r="J85" s="172"/>
      <c r="K85" s="167"/>
      <c r="L85" s="172"/>
      <c r="M85" s="172"/>
      <c r="N85" s="172"/>
      <c r="O85" s="172"/>
      <c r="P85" s="177" t="str">
        <f t="shared" si="21"/>
        <v/>
      </c>
      <c r="Q85" s="180"/>
      <c r="R85" s="175"/>
      <c r="S85" s="180"/>
      <c r="T85" s="180"/>
      <c r="U85" s="180"/>
      <c r="V85" s="180"/>
      <c r="W85" s="183" t="str">
        <f t="shared" si="22"/>
        <v/>
      </c>
      <c r="X85" s="186"/>
      <c r="Y85" s="181"/>
      <c r="Z85" s="186"/>
      <c r="AA85" s="186"/>
      <c r="AB85" s="186"/>
      <c r="AC85" s="186"/>
      <c r="AD85" s="218" t="str">
        <f t="shared" si="23"/>
        <v/>
      </c>
      <c r="AE85" s="204"/>
      <c r="AF85" s="198"/>
      <c r="AG85" s="204"/>
      <c r="AH85" s="204"/>
      <c r="AI85" s="204"/>
      <c r="AJ85" s="204"/>
      <c r="AK85" s="209" t="str">
        <f t="shared" si="24"/>
        <v/>
      </c>
      <c r="AL85" s="215"/>
      <c r="AM85" s="207"/>
      <c r="AN85" s="215"/>
      <c r="AO85" s="215"/>
      <c r="AP85" s="215"/>
      <c r="AQ85" s="215"/>
    </row>
    <row r="86" spans="1:43" x14ac:dyDescent="0.2">
      <c r="A86" s="133" t="s">
        <v>42</v>
      </c>
      <c r="B86" s="133" t="s">
        <v>36</v>
      </c>
      <c r="C86" s="133" t="s">
        <v>42</v>
      </c>
      <c r="D86" s="133" t="s">
        <v>357</v>
      </c>
      <c r="E86" s="133" t="s">
        <v>357</v>
      </c>
      <c r="F86" s="135" t="str">
        <f t="shared" si="18"/>
        <v>0701070000</v>
      </c>
      <c r="G86" s="134" t="s">
        <v>446</v>
      </c>
      <c r="H86" s="11" t="str">
        <f t="shared" si="19"/>
        <v>PRODUTOS ALIMENTARES E BEBIDAS - R0701070000</v>
      </c>
      <c r="I86" s="169" t="str">
        <f t="shared" si="20"/>
        <v/>
      </c>
      <c r="J86" s="172"/>
      <c r="K86" s="167"/>
      <c r="L86" s="172"/>
      <c r="M86" s="172"/>
      <c r="N86" s="172"/>
      <c r="O86" s="172"/>
      <c r="P86" s="177" t="str">
        <f t="shared" si="21"/>
        <v/>
      </c>
      <c r="Q86" s="180"/>
      <c r="R86" s="175"/>
      <c r="S86" s="180"/>
      <c r="T86" s="180"/>
      <c r="U86" s="180"/>
      <c r="V86" s="180"/>
      <c r="W86" s="183" t="str">
        <f t="shared" si="22"/>
        <v/>
      </c>
      <c r="X86" s="186"/>
      <c r="Y86" s="181"/>
      <c r="Z86" s="186"/>
      <c r="AA86" s="186"/>
      <c r="AB86" s="186"/>
      <c r="AC86" s="186"/>
      <c r="AD86" s="218" t="str">
        <f t="shared" si="23"/>
        <v/>
      </c>
      <c r="AE86" s="204"/>
      <c r="AF86" s="198"/>
      <c r="AG86" s="204"/>
      <c r="AH86" s="204"/>
      <c r="AI86" s="204"/>
      <c r="AJ86" s="204"/>
      <c r="AK86" s="209" t="str">
        <f t="shared" si="24"/>
        <v/>
      </c>
      <c r="AL86" s="215"/>
      <c r="AM86" s="207"/>
      <c r="AN86" s="215"/>
      <c r="AO86" s="215"/>
      <c r="AP86" s="215"/>
      <c r="AQ86" s="215"/>
    </row>
    <row r="87" spans="1:43" x14ac:dyDescent="0.2">
      <c r="A87" s="133" t="s">
        <v>42</v>
      </c>
      <c r="B87" s="133" t="s">
        <v>36</v>
      </c>
      <c r="C87" s="133" t="s">
        <v>43</v>
      </c>
      <c r="D87" s="133" t="s">
        <v>357</v>
      </c>
      <c r="E87" s="133" t="s">
        <v>357</v>
      </c>
      <c r="F87" s="135" t="str">
        <f t="shared" si="18"/>
        <v>0701080000</v>
      </c>
      <c r="G87" s="134" t="s">
        <v>456</v>
      </c>
      <c r="H87" s="11" t="str">
        <f t="shared" si="19"/>
        <v>MERCADORIAS - R0701080000</v>
      </c>
      <c r="I87" s="169" t="str">
        <f t="shared" si="20"/>
        <v/>
      </c>
      <c r="J87" s="172"/>
      <c r="K87" s="167"/>
      <c r="L87" s="172"/>
      <c r="M87" s="172"/>
      <c r="N87" s="172"/>
      <c r="O87" s="172"/>
      <c r="P87" s="177" t="str">
        <f t="shared" si="21"/>
        <v/>
      </c>
      <c r="Q87" s="180"/>
      <c r="R87" s="175"/>
      <c r="S87" s="180"/>
      <c r="T87" s="180"/>
      <c r="U87" s="180"/>
      <c r="V87" s="180"/>
      <c r="W87" s="183" t="str">
        <f t="shared" si="22"/>
        <v/>
      </c>
      <c r="X87" s="186"/>
      <c r="Y87" s="181"/>
      <c r="Z87" s="186"/>
      <c r="AA87" s="186"/>
      <c r="AB87" s="186"/>
      <c r="AC87" s="186"/>
      <c r="AD87" s="218" t="str">
        <f t="shared" si="23"/>
        <v/>
      </c>
      <c r="AE87" s="204"/>
      <c r="AF87" s="198"/>
      <c r="AG87" s="204"/>
      <c r="AH87" s="204"/>
      <c r="AI87" s="204"/>
      <c r="AJ87" s="204"/>
      <c r="AK87" s="209" t="str">
        <f t="shared" si="24"/>
        <v/>
      </c>
      <c r="AL87" s="215"/>
      <c r="AM87" s="207"/>
      <c r="AN87" s="215"/>
      <c r="AO87" s="215"/>
      <c r="AP87" s="215"/>
      <c r="AQ87" s="215"/>
    </row>
    <row r="88" spans="1:43" x14ac:dyDescent="0.2">
      <c r="A88" s="133" t="s">
        <v>42</v>
      </c>
      <c r="B88" s="133" t="s">
        <v>36</v>
      </c>
      <c r="C88" s="133" t="s">
        <v>44</v>
      </c>
      <c r="D88" s="133" t="s">
        <v>357</v>
      </c>
      <c r="E88" s="133" t="s">
        <v>357</v>
      </c>
      <c r="F88" s="135" t="str">
        <f t="shared" si="18"/>
        <v>0701090000</v>
      </c>
      <c r="G88" s="134" t="s">
        <v>457</v>
      </c>
      <c r="H88" s="11" t="str">
        <f t="shared" si="19"/>
        <v>MATÉRIAS DE CONSUMO - R0701090000</v>
      </c>
      <c r="I88" s="169" t="str">
        <f t="shared" si="20"/>
        <v/>
      </c>
      <c r="J88" s="172"/>
      <c r="K88" s="167"/>
      <c r="L88" s="172"/>
      <c r="M88" s="172"/>
      <c r="N88" s="172"/>
      <c r="O88" s="172"/>
      <c r="P88" s="177" t="str">
        <f t="shared" si="21"/>
        <v/>
      </c>
      <c r="Q88" s="180"/>
      <c r="R88" s="175"/>
      <c r="S88" s="180"/>
      <c r="T88" s="180"/>
      <c r="U88" s="180"/>
      <c r="V88" s="180"/>
      <c r="W88" s="183" t="str">
        <f t="shared" si="22"/>
        <v/>
      </c>
      <c r="X88" s="186"/>
      <c r="Y88" s="181"/>
      <c r="Z88" s="186"/>
      <c r="AA88" s="186"/>
      <c r="AB88" s="186"/>
      <c r="AC88" s="186"/>
      <c r="AD88" s="218" t="str">
        <f t="shared" si="23"/>
        <v/>
      </c>
      <c r="AE88" s="204"/>
      <c r="AF88" s="198"/>
      <c r="AG88" s="204"/>
      <c r="AH88" s="204"/>
      <c r="AI88" s="204"/>
      <c r="AJ88" s="204"/>
      <c r="AK88" s="209" t="str">
        <f t="shared" si="24"/>
        <v/>
      </c>
      <c r="AL88" s="215"/>
      <c r="AM88" s="207"/>
      <c r="AN88" s="215"/>
      <c r="AO88" s="215"/>
      <c r="AP88" s="215"/>
      <c r="AQ88" s="215"/>
    </row>
    <row r="89" spans="1:43" x14ac:dyDescent="0.2">
      <c r="A89" s="133" t="s">
        <v>42</v>
      </c>
      <c r="B89" s="133" t="s">
        <v>36</v>
      </c>
      <c r="C89" s="133" t="s">
        <v>45</v>
      </c>
      <c r="D89" s="133" t="s">
        <v>357</v>
      </c>
      <c r="E89" s="133" t="s">
        <v>357</v>
      </c>
      <c r="F89" s="135" t="str">
        <f t="shared" si="18"/>
        <v>0701100000</v>
      </c>
      <c r="G89" s="134" t="s">
        <v>442</v>
      </c>
      <c r="H89" s="11" t="str">
        <f t="shared" si="19"/>
        <v>DESPERDÍCIOS, RESÍDUOS E REFUGOS - R0701100000</v>
      </c>
      <c r="I89" s="169" t="str">
        <f t="shared" si="20"/>
        <v/>
      </c>
      <c r="J89" s="172"/>
      <c r="K89" s="167"/>
      <c r="L89" s="172"/>
      <c r="M89" s="172"/>
      <c r="N89" s="172"/>
      <c r="O89" s="172"/>
      <c r="P89" s="177" t="str">
        <f t="shared" si="21"/>
        <v/>
      </c>
      <c r="Q89" s="180"/>
      <c r="R89" s="175"/>
      <c r="S89" s="180"/>
      <c r="T89" s="180"/>
      <c r="U89" s="180"/>
      <c r="V89" s="180"/>
      <c r="W89" s="183" t="str">
        <f t="shared" si="22"/>
        <v/>
      </c>
      <c r="X89" s="186"/>
      <c r="Y89" s="181"/>
      <c r="Z89" s="186"/>
      <c r="AA89" s="186"/>
      <c r="AB89" s="186"/>
      <c r="AC89" s="186"/>
      <c r="AD89" s="218" t="str">
        <f t="shared" si="23"/>
        <v/>
      </c>
      <c r="AE89" s="204"/>
      <c r="AF89" s="198"/>
      <c r="AG89" s="204"/>
      <c r="AH89" s="204"/>
      <c r="AI89" s="204"/>
      <c r="AJ89" s="204"/>
      <c r="AK89" s="209" t="str">
        <f t="shared" si="24"/>
        <v/>
      </c>
      <c r="AL89" s="215"/>
      <c r="AM89" s="207"/>
      <c r="AN89" s="215"/>
      <c r="AO89" s="215"/>
      <c r="AP89" s="215"/>
      <c r="AQ89" s="215"/>
    </row>
    <row r="90" spans="1:43" x14ac:dyDescent="0.2">
      <c r="A90" s="133" t="s">
        <v>42</v>
      </c>
      <c r="B90" s="133" t="s">
        <v>36</v>
      </c>
      <c r="C90" s="133" t="s">
        <v>329</v>
      </c>
      <c r="D90" s="133" t="s">
        <v>357</v>
      </c>
      <c r="E90" s="133" t="s">
        <v>357</v>
      </c>
      <c r="F90" s="135" t="str">
        <f t="shared" si="18"/>
        <v>0701990000</v>
      </c>
      <c r="G90" s="134" t="s">
        <v>377</v>
      </c>
      <c r="H90" s="11" t="str">
        <f t="shared" si="19"/>
        <v>OUTROS - R0701990000</v>
      </c>
      <c r="I90" s="169" t="str">
        <f t="shared" si="20"/>
        <v/>
      </c>
      <c r="J90" s="172"/>
      <c r="K90" s="167"/>
      <c r="L90" s="172"/>
      <c r="M90" s="172"/>
      <c r="N90" s="172"/>
      <c r="O90" s="172"/>
      <c r="P90" s="177" t="str">
        <f t="shared" si="21"/>
        <v/>
      </c>
      <c r="Q90" s="180"/>
      <c r="R90" s="175"/>
      <c r="S90" s="180"/>
      <c r="T90" s="180"/>
      <c r="U90" s="180"/>
      <c r="V90" s="180"/>
      <c r="W90" s="183" t="str">
        <f t="shared" si="22"/>
        <v/>
      </c>
      <c r="X90" s="186"/>
      <c r="Y90" s="181"/>
      <c r="Z90" s="186"/>
      <c r="AA90" s="186"/>
      <c r="AB90" s="186"/>
      <c r="AC90" s="186"/>
      <c r="AD90" s="218" t="str">
        <f t="shared" si="23"/>
        <v/>
      </c>
      <c r="AE90" s="204"/>
      <c r="AF90" s="198"/>
      <c r="AG90" s="204"/>
      <c r="AH90" s="204"/>
      <c r="AI90" s="204"/>
      <c r="AJ90" s="204"/>
      <c r="AK90" s="209" t="str">
        <f t="shared" si="24"/>
        <v/>
      </c>
      <c r="AL90" s="215"/>
      <c r="AM90" s="207"/>
      <c r="AN90" s="215"/>
      <c r="AO90" s="215"/>
      <c r="AP90" s="215"/>
      <c r="AQ90" s="215"/>
    </row>
    <row r="91" spans="1:43" x14ac:dyDescent="0.2">
      <c r="A91" s="133" t="s">
        <v>42</v>
      </c>
      <c r="B91" s="133" t="s">
        <v>37</v>
      </c>
      <c r="C91" s="133" t="s">
        <v>36</v>
      </c>
      <c r="D91" s="133" t="s">
        <v>357</v>
      </c>
      <c r="E91" s="133" t="s">
        <v>357</v>
      </c>
      <c r="F91" s="135" t="str">
        <f t="shared" si="18"/>
        <v>0702010000</v>
      </c>
      <c r="G91" s="134" t="s">
        <v>453</v>
      </c>
      <c r="H91" s="11" t="str">
        <f t="shared" si="19"/>
        <v>ALUGUER DE ESPAÇOS E EQUIPAMENTOS - R0702010000</v>
      </c>
      <c r="I91" s="169" t="str">
        <f t="shared" si="20"/>
        <v/>
      </c>
      <c r="J91" s="172"/>
      <c r="K91" s="167"/>
      <c r="L91" s="172"/>
      <c r="M91" s="172"/>
      <c r="N91" s="172"/>
      <c r="O91" s="172"/>
      <c r="P91" s="177" t="str">
        <f t="shared" si="21"/>
        <v/>
      </c>
      <c r="Q91" s="180"/>
      <c r="R91" s="175"/>
      <c r="S91" s="180"/>
      <c r="T91" s="180"/>
      <c r="U91" s="180"/>
      <c r="V91" s="180"/>
      <c r="W91" s="183" t="str">
        <f t="shared" si="22"/>
        <v/>
      </c>
      <c r="X91" s="186"/>
      <c r="Y91" s="181"/>
      <c r="Z91" s="186"/>
      <c r="AA91" s="186"/>
      <c r="AB91" s="186"/>
      <c r="AC91" s="186"/>
      <c r="AD91" s="218" t="str">
        <f t="shared" si="23"/>
        <v/>
      </c>
      <c r="AE91" s="204"/>
      <c r="AF91" s="198"/>
      <c r="AG91" s="204"/>
      <c r="AH91" s="204"/>
      <c r="AI91" s="204"/>
      <c r="AJ91" s="204"/>
      <c r="AK91" s="209" t="str">
        <f t="shared" si="24"/>
        <v/>
      </c>
      <c r="AL91" s="215"/>
      <c r="AM91" s="207"/>
      <c r="AN91" s="215"/>
      <c r="AO91" s="215"/>
      <c r="AP91" s="215"/>
      <c r="AQ91" s="215"/>
    </row>
    <row r="92" spans="1:43" x14ac:dyDescent="0.2">
      <c r="A92" s="133" t="s">
        <v>42</v>
      </c>
      <c r="B92" s="133" t="s">
        <v>37</v>
      </c>
      <c r="C92" s="133" t="s">
        <v>37</v>
      </c>
      <c r="D92" s="133" t="s">
        <v>357</v>
      </c>
      <c r="E92" s="133" t="s">
        <v>357</v>
      </c>
      <c r="F92" s="135" t="str">
        <f t="shared" si="18"/>
        <v>0702020000</v>
      </c>
      <c r="G92" s="134" t="s">
        <v>458</v>
      </c>
      <c r="H92" s="11" t="str">
        <f t="shared" si="19"/>
        <v>ESTUDOS, PARECERES, PROJETOS E CONSULTADORIA - R0702020000</v>
      </c>
      <c r="I92" s="169" t="str">
        <f t="shared" si="20"/>
        <v/>
      </c>
      <c r="J92" s="172"/>
      <c r="K92" s="167"/>
      <c r="L92" s="172"/>
      <c r="M92" s="172"/>
      <c r="N92" s="172"/>
      <c r="O92" s="172"/>
      <c r="P92" s="177" t="str">
        <f t="shared" si="21"/>
        <v/>
      </c>
      <c r="Q92" s="180"/>
      <c r="R92" s="175"/>
      <c r="S92" s="180"/>
      <c r="T92" s="180"/>
      <c r="U92" s="180"/>
      <c r="V92" s="180"/>
      <c r="W92" s="183" t="str">
        <f t="shared" si="22"/>
        <v/>
      </c>
      <c r="X92" s="186"/>
      <c r="Y92" s="181"/>
      <c r="Z92" s="186"/>
      <c r="AA92" s="186"/>
      <c r="AB92" s="186"/>
      <c r="AC92" s="186"/>
      <c r="AD92" s="218" t="str">
        <f t="shared" si="23"/>
        <v/>
      </c>
      <c r="AE92" s="204"/>
      <c r="AF92" s="198"/>
      <c r="AG92" s="204"/>
      <c r="AH92" s="204"/>
      <c r="AI92" s="204"/>
      <c r="AJ92" s="204"/>
      <c r="AK92" s="209" t="str">
        <f t="shared" si="24"/>
        <v/>
      </c>
      <c r="AL92" s="215"/>
      <c r="AM92" s="207"/>
      <c r="AN92" s="215"/>
      <c r="AO92" s="215"/>
      <c r="AP92" s="215"/>
      <c r="AQ92" s="215"/>
    </row>
    <row r="93" spans="1:43" x14ac:dyDescent="0.2">
      <c r="A93" s="133" t="s">
        <v>42</v>
      </c>
      <c r="B93" s="133" t="s">
        <v>37</v>
      </c>
      <c r="C93" s="133" t="s">
        <v>38</v>
      </c>
      <c r="D93" s="133" t="s">
        <v>357</v>
      </c>
      <c r="E93" s="133" t="s">
        <v>357</v>
      </c>
      <c r="F93" s="135" t="str">
        <f t="shared" si="18"/>
        <v>0702030000</v>
      </c>
      <c r="G93" s="134" t="s">
        <v>449</v>
      </c>
      <c r="H93" s="11" t="str">
        <f t="shared" si="19"/>
        <v>VISTORIAS E ENSAIOS - R0702030000</v>
      </c>
      <c r="I93" s="169" t="str">
        <f t="shared" si="20"/>
        <v/>
      </c>
      <c r="J93" s="172"/>
      <c r="K93" s="167"/>
      <c r="L93" s="172"/>
      <c r="M93" s="172"/>
      <c r="N93" s="172"/>
      <c r="O93" s="172"/>
      <c r="P93" s="177" t="str">
        <f t="shared" si="21"/>
        <v/>
      </c>
      <c r="Q93" s="180"/>
      <c r="R93" s="175"/>
      <c r="S93" s="180"/>
      <c r="T93" s="180"/>
      <c r="U93" s="180"/>
      <c r="V93" s="180"/>
      <c r="W93" s="183" t="str">
        <f t="shared" si="22"/>
        <v/>
      </c>
      <c r="X93" s="186"/>
      <c r="Y93" s="181"/>
      <c r="Z93" s="186"/>
      <c r="AA93" s="186"/>
      <c r="AB93" s="186"/>
      <c r="AC93" s="186"/>
      <c r="AD93" s="218" t="str">
        <f t="shared" si="23"/>
        <v/>
      </c>
      <c r="AE93" s="204"/>
      <c r="AF93" s="198"/>
      <c r="AG93" s="204"/>
      <c r="AH93" s="204"/>
      <c r="AI93" s="204"/>
      <c r="AJ93" s="204"/>
      <c r="AK93" s="209" t="str">
        <f t="shared" si="24"/>
        <v/>
      </c>
      <c r="AL93" s="215"/>
      <c r="AM93" s="207"/>
      <c r="AN93" s="215"/>
      <c r="AO93" s="215"/>
      <c r="AP93" s="215"/>
      <c r="AQ93" s="215"/>
    </row>
    <row r="94" spans="1:43" x14ac:dyDescent="0.2">
      <c r="A94" s="133" t="s">
        <v>42</v>
      </c>
      <c r="B94" s="133" t="s">
        <v>37</v>
      </c>
      <c r="C94" s="133" t="s">
        <v>39</v>
      </c>
      <c r="D94" s="133" t="s">
        <v>357</v>
      </c>
      <c r="E94" s="133" t="s">
        <v>357</v>
      </c>
      <c r="F94" s="135" t="str">
        <f t="shared" si="18"/>
        <v>0702040000</v>
      </c>
      <c r="G94" s="134" t="s">
        <v>459</v>
      </c>
      <c r="H94" s="11" t="str">
        <f t="shared" si="19"/>
        <v>SERVIÇOS DE LABORATÓRIOS - R0702040000</v>
      </c>
      <c r="I94" s="169" t="str">
        <f t="shared" si="20"/>
        <v/>
      </c>
      <c r="J94" s="172"/>
      <c r="K94" s="167"/>
      <c r="L94" s="172"/>
      <c r="M94" s="172"/>
      <c r="N94" s="172"/>
      <c r="O94" s="172"/>
      <c r="P94" s="177" t="str">
        <f t="shared" si="21"/>
        <v/>
      </c>
      <c r="Q94" s="180"/>
      <c r="R94" s="175"/>
      <c r="S94" s="180"/>
      <c r="T94" s="180"/>
      <c r="U94" s="180"/>
      <c r="V94" s="180"/>
      <c r="W94" s="183" t="str">
        <f t="shared" si="22"/>
        <v/>
      </c>
      <c r="X94" s="186"/>
      <c r="Y94" s="181"/>
      <c r="Z94" s="186"/>
      <c r="AA94" s="186"/>
      <c r="AB94" s="186"/>
      <c r="AC94" s="186"/>
      <c r="AD94" s="218" t="str">
        <f t="shared" si="23"/>
        <v/>
      </c>
      <c r="AE94" s="204"/>
      <c r="AF94" s="198"/>
      <c r="AG94" s="204"/>
      <c r="AH94" s="204"/>
      <c r="AI94" s="204"/>
      <c r="AJ94" s="204"/>
      <c r="AK94" s="209" t="str">
        <f t="shared" si="24"/>
        <v/>
      </c>
      <c r="AL94" s="215"/>
      <c r="AM94" s="207"/>
      <c r="AN94" s="215"/>
      <c r="AO94" s="215"/>
      <c r="AP94" s="215"/>
      <c r="AQ94" s="215"/>
    </row>
    <row r="95" spans="1:43" x14ac:dyDescent="0.2">
      <c r="A95" s="133" t="s">
        <v>42</v>
      </c>
      <c r="B95" s="133" t="s">
        <v>37</v>
      </c>
      <c r="C95" s="133" t="s">
        <v>40</v>
      </c>
      <c r="D95" s="133" t="s">
        <v>357</v>
      </c>
      <c r="E95" s="133" t="s">
        <v>357</v>
      </c>
      <c r="F95" s="135" t="str">
        <f t="shared" si="18"/>
        <v>0702050000</v>
      </c>
      <c r="G95" s="134" t="s">
        <v>460</v>
      </c>
      <c r="H95" s="11" t="str">
        <f t="shared" si="19"/>
        <v>ATIVIDADES DE SAÚDE - R0702050000</v>
      </c>
      <c r="I95" s="169" t="str">
        <f t="shared" si="20"/>
        <v/>
      </c>
      <c r="J95" s="172"/>
      <c r="K95" s="167"/>
      <c r="L95" s="172"/>
      <c r="M95" s="172"/>
      <c r="N95" s="172"/>
      <c r="O95" s="172"/>
      <c r="P95" s="177" t="str">
        <f t="shared" si="21"/>
        <v/>
      </c>
      <c r="Q95" s="180"/>
      <c r="R95" s="175"/>
      <c r="S95" s="180"/>
      <c r="T95" s="180"/>
      <c r="U95" s="180"/>
      <c r="V95" s="180"/>
      <c r="W95" s="183" t="str">
        <f t="shared" si="22"/>
        <v/>
      </c>
      <c r="X95" s="186"/>
      <c r="Y95" s="181"/>
      <c r="Z95" s="186"/>
      <c r="AA95" s="186"/>
      <c r="AB95" s="186"/>
      <c r="AC95" s="186"/>
      <c r="AD95" s="218" t="str">
        <f t="shared" si="23"/>
        <v/>
      </c>
      <c r="AE95" s="204"/>
      <c r="AF95" s="198"/>
      <c r="AG95" s="204"/>
      <c r="AH95" s="204"/>
      <c r="AI95" s="204"/>
      <c r="AJ95" s="204"/>
      <c r="AK95" s="209" t="str">
        <f t="shared" si="24"/>
        <v/>
      </c>
      <c r="AL95" s="215"/>
      <c r="AM95" s="207"/>
      <c r="AN95" s="215"/>
      <c r="AO95" s="215"/>
      <c r="AP95" s="215"/>
      <c r="AQ95" s="215"/>
    </row>
    <row r="96" spans="1:43" x14ac:dyDescent="0.2">
      <c r="A96" s="133" t="s">
        <v>42</v>
      </c>
      <c r="B96" s="133" t="s">
        <v>37</v>
      </c>
      <c r="C96" s="133" t="s">
        <v>41</v>
      </c>
      <c r="D96" s="133" t="s">
        <v>357</v>
      </c>
      <c r="E96" s="133" t="s">
        <v>357</v>
      </c>
      <c r="F96" s="135" t="str">
        <f t="shared" si="18"/>
        <v>0702060000</v>
      </c>
      <c r="G96" s="134" t="s">
        <v>443</v>
      </c>
      <c r="H96" s="11" t="str">
        <f t="shared" si="19"/>
        <v>REPARAÇÕES - R0702060000</v>
      </c>
      <c r="I96" s="169" t="str">
        <f t="shared" si="20"/>
        <v/>
      </c>
      <c r="J96" s="172"/>
      <c r="K96" s="167"/>
      <c r="L96" s="172"/>
      <c r="M96" s="172"/>
      <c r="N96" s="172"/>
      <c r="O96" s="172"/>
      <c r="P96" s="177" t="str">
        <f t="shared" si="21"/>
        <v/>
      </c>
      <c r="Q96" s="180"/>
      <c r="R96" s="175"/>
      <c r="S96" s="180"/>
      <c r="T96" s="180"/>
      <c r="U96" s="180"/>
      <c r="V96" s="180"/>
      <c r="W96" s="183" t="str">
        <f t="shared" si="22"/>
        <v/>
      </c>
      <c r="X96" s="186"/>
      <c r="Y96" s="181"/>
      <c r="Z96" s="186"/>
      <c r="AA96" s="186"/>
      <c r="AB96" s="186"/>
      <c r="AC96" s="186"/>
      <c r="AD96" s="218" t="str">
        <f t="shared" si="23"/>
        <v/>
      </c>
      <c r="AE96" s="204"/>
      <c r="AF96" s="198"/>
      <c r="AG96" s="204"/>
      <c r="AH96" s="204"/>
      <c r="AI96" s="204"/>
      <c r="AJ96" s="204"/>
      <c r="AK96" s="209" t="str">
        <f t="shared" si="24"/>
        <v/>
      </c>
      <c r="AL96" s="215"/>
      <c r="AM96" s="207"/>
      <c r="AN96" s="215"/>
      <c r="AO96" s="215"/>
      <c r="AP96" s="215"/>
      <c r="AQ96" s="215"/>
    </row>
    <row r="97" spans="1:43" x14ac:dyDescent="0.2">
      <c r="A97" s="133" t="s">
        <v>42</v>
      </c>
      <c r="B97" s="133" t="s">
        <v>37</v>
      </c>
      <c r="C97" s="133" t="s">
        <v>42</v>
      </c>
      <c r="D97" s="133" t="s">
        <v>357</v>
      </c>
      <c r="E97" s="133" t="s">
        <v>357</v>
      </c>
      <c r="F97" s="135" t="str">
        <f t="shared" si="18"/>
        <v>0702070000</v>
      </c>
      <c r="G97" s="134" t="s">
        <v>444</v>
      </c>
      <c r="H97" s="11" t="str">
        <f t="shared" si="19"/>
        <v>ALIMENTAÇÃO E ALOJAMENTO - R0702070000</v>
      </c>
      <c r="I97" s="169" t="str">
        <f t="shared" si="20"/>
        <v/>
      </c>
      <c r="J97" s="172"/>
      <c r="K97" s="167"/>
      <c r="L97" s="172"/>
      <c r="M97" s="172"/>
      <c r="N97" s="172"/>
      <c r="O97" s="172"/>
      <c r="P97" s="177" t="str">
        <f t="shared" si="21"/>
        <v/>
      </c>
      <c r="Q97" s="180"/>
      <c r="R97" s="175"/>
      <c r="S97" s="180"/>
      <c r="T97" s="180"/>
      <c r="U97" s="180"/>
      <c r="V97" s="180"/>
      <c r="W97" s="183" t="str">
        <f t="shared" si="22"/>
        <v/>
      </c>
      <c r="X97" s="186"/>
      <c r="Y97" s="181"/>
      <c r="Z97" s="186"/>
      <c r="AA97" s="186"/>
      <c r="AB97" s="186"/>
      <c r="AC97" s="186"/>
      <c r="AD97" s="218" t="str">
        <f t="shared" si="23"/>
        <v/>
      </c>
      <c r="AE97" s="204"/>
      <c r="AF97" s="198"/>
      <c r="AG97" s="204"/>
      <c r="AH97" s="204"/>
      <c r="AI97" s="204"/>
      <c r="AJ97" s="204"/>
      <c r="AK97" s="209" t="str">
        <f t="shared" si="24"/>
        <v/>
      </c>
      <c r="AL97" s="215"/>
      <c r="AM97" s="207"/>
      <c r="AN97" s="215"/>
      <c r="AO97" s="215"/>
      <c r="AP97" s="215"/>
      <c r="AQ97" s="215"/>
    </row>
    <row r="98" spans="1:43" x14ac:dyDescent="0.2">
      <c r="A98" s="133" t="s">
        <v>42</v>
      </c>
      <c r="B98" s="133" t="s">
        <v>37</v>
      </c>
      <c r="C98" s="133" t="s">
        <v>43</v>
      </c>
      <c r="D98" s="133" t="s">
        <v>357</v>
      </c>
      <c r="E98" s="133" t="s">
        <v>357</v>
      </c>
      <c r="F98" s="135" t="str">
        <f t="shared" si="18"/>
        <v>0702080000</v>
      </c>
      <c r="G98" s="134" t="s">
        <v>448</v>
      </c>
      <c r="H98" s="11" t="str">
        <f t="shared" si="19"/>
        <v>SERVIÇOS SOCIAIS, RECREATIVOS, CULTURAIS E DESPORTO - R0702080000</v>
      </c>
      <c r="I98" s="169" t="str">
        <f t="shared" si="20"/>
        <v/>
      </c>
      <c r="J98" s="172"/>
      <c r="K98" s="167"/>
      <c r="L98" s="172"/>
      <c r="M98" s="172"/>
      <c r="N98" s="172"/>
      <c r="O98" s="172"/>
      <c r="P98" s="177" t="str">
        <f t="shared" si="21"/>
        <v/>
      </c>
      <c r="Q98" s="180"/>
      <c r="R98" s="175"/>
      <c r="S98" s="180"/>
      <c r="T98" s="180"/>
      <c r="U98" s="180"/>
      <c r="V98" s="180"/>
      <c r="W98" s="183" t="str">
        <f t="shared" si="22"/>
        <v/>
      </c>
      <c r="X98" s="186"/>
      <c r="Y98" s="181"/>
      <c r="Z98" s="186"/>
      <c r="AA98" s="186"/>
      <c r="AB98" s="186"/>
      <c r="AC98" s="186"/>
      <c r="AD98" s="218" t="str">
        <f t="shared" si="23"/>
        <v/>
      </c>
      <c r="AE98" s="204"/>
      <c r="AF98" s="198"/>
      <c r="AG98" s="204"/>
      <c r="AH98" s="204"/>
      <c r="AI98" s="204"/>
      <c r="AJ98" s="204"/>
      <c r="AK98" s="209" t="str">
        <f t="shared" si="24"/>
        <v/>
      </c>
      <c r="AL98" s="215"/>
      <c r="AM98" s="207"/>
      <c r="AN98" s="215"/>
      <c r="AO98" s="215"/>
      <c r="AP98" s="215"/>
      <c r="AQ98" s="215"/>
    </row>
    <row r="99" spans="1:43" x14ac:dyDescent="0.2">
      <c r="A99" s="133" t="s">
        <v>42</v>
      </c>
      <c r="B99" s="133" t="s">
        <v>37</v>
      </c>
      <c r="C99" s="133" t="s">
        <v>44</v>
      </c>
      <c r="D99" s="133" t="s">
        <v>357</v>
      </c>
      <c r="E99" s="133" t="s">
        <v>357</v>
      </c>
      <c r="F99" s="135" t="str">
        <f t="shared" si="18"/>
        <v>0702090000</v>
      </c>
      <c r="G99" s="134" t="s">
        <v>454</v>
      </c>
      <c r="H99" s="11" t="str">
        <f t="shared" si="19"/>
        <v>SERVIÇOS ESPECÍFICOS DAS  AUTARQUIAS - R0702090000</v>
      </c>
      <c r="I99" s="169" t="str">
        <f t="shared" si="20"/>
        <v/>
      </c>
      <c r="J99" s="172"/>
      <c r="K99" s="167"/>
      <c r="L99" s="172"/>
      <c r="M99" s="172"/>
      <c r="N99" s="172"/>
      <c r="O99" s="172"/>
      <c r="P99" s="177" t="str">
        <f t="shared" si="21"/>
        <v/>
      </c>
      <c r="Q99" s="180"/>
      <c r="R99" s="175"/>
      <c r="S99" s="180"/>
      <c r="T99" s="180"/>
      <c r="U99" s="180"/>
      <c r="V99" s="180"/>
      <c r="W99" s="183" t="str">
        <f t="shared" si="22"/>
        <v/>
      </c>
      <c r="X99" s="186"/>
      <c r="Y99" s="181"/>
      <c r="Z99" s="186"/>
      <c r="AA99" s="186"/>
      <c r="AB99" s="186"/>
      <c r="AC99" s="186"/>
      <c r="AD99" s="218" t="str">
        <f t="shared" si="23"/>
        <v/>
      </c>
      <c r="AE99" s="204"/>
      <c r="AF99" s="198"/>
      <c r="AG99" s="204"/>
      <c r="AH99" s="204"/>
      <c r="AI99" s="204"/>
      <c r="AJ99" s="204"/>
      <c r="AK99" s="209" t="str">
        <f t="shared" si="24"/>
        <v/>
      </c>
      <c r="AL99" s="215"/>
      <c r="AM99" s="207"/>
      <c r="AN99" s="215"/>
      <c r="AO99" s="215"/>
      <c r="AP99" s="215"/>
      <c r="AQ99" s="215"/>
    </row>
    <row r="100" spans="1:43" x14ac:dyDescent="0.2">
      <c r="A100" s="133" t="s">
        <v>42</v>
      </c>
      <c r="B100" s="133" t="s">
        <v>37</v>
      </c>
      <c r="C100" s="133" t="s">
        <v>329</v>
      </c>
      <c r="D100" s="133" t="s">
        <v>357</v>
      </c>
      <c r="E100" s="133" t="s">
        <v>357</v>
      </c>
      <c r="F100" s="135" t="str">
        <f t="shared" si="18"/>
        <v>0702990000</v>
      </c>
      <c r="G100" s="134" t="s">
        <v>377</v>
      </c>
      <c r="H100" s="11" t="str">
        <f t="shared" si="19"/>
        <v>OUTROS - R0702990000</v>
      </c>
      <c r="I100" s="169" t="str">
        <f t="shared" si="20"/>
        <v/>
      </c>
      <c r="J100" s="172"/>
      <c r="K100" s="167"/>
      <c r="L100" s="172"/>
      <c r="M100" s="172"/>
      <c r="N100" s="172"/>
      <c r="O100" s="172"/>
      <c r="P100" s="177" t="str">
        <f t="shared" si="21"/>
        <v/>
      </c>
      <c r="Q100" s="180"/>
      <c r="R100" s="175"/>
      <c r="S100" s="180"/>
      <c r="T100" s="180"/>
      <c r="U100" s="180"/>
      <c r="V100" s="180"/>
      <c r="W100" s="183" t="str">
        <f t="shared" si="22"/>
        <v/>
      </c>
      <c r="X100" s="186"/>
      <c r="Y100" s="181"/>
      <c r="Z100" s="186"/>
      <c r="AA100" s="186"/>
      <c r="AB100" s="186"/>
      <c r="AC100" s="186"/>
      <c r="AD100" s="218" t="str">
        <f t="shared" si="23"/>
        <v/>
      </c>
      <c r="AE100" s="204"/>
      <c r="AF100" s="198"/>
      <c r="AG100" s="204"/>
      <c r="AH100" s="204"/>
      <c r="AI100" s="204"/>
      <c r="AJ100" s="204"/>
      <c r="AK100" s="209" t="str">
        <f t="shared" si="24"/>
        <v/>
      </c>
      <c r="AL100" s="215"/>
      <c r="AM100" s="207"/>
      <c r="AN100" s="215"/>
      <c r="AO100" s="215"/>
      <c r="AP100" s="215"/>
      <c r="AQ100" s="215"/>
    </row>
    <row r="101" spans="1:43" x14ac:dyDescent="0.2">
      <c r="A101" s="133" t="s">
        <v>42</v>
      </c>
      <c r="B101" s="133" t="s">
        <v>38</v>
      </c>
      <c r="C101" s="133" t="s">
        <v>36</v>
      </c>
      <c r="D101" s="133" t="s">
        <v>357</v>
      </c>
      <c r="E101" s="133" t="s">
        <v>357</v>
      </c>
      <c r="F101" s="135" t="str">
        <f t="shared" si="18"/>
        <v>0703010000</v>
      </c>
      <c r="G101" s="134" t="s">
        <v>425</v>
      </c>
      <c r="H101" s="11" t="str">
        <f t="shared" si="19"/>
        <v>HABITAÇÕES - R0703010000</v>
      </c>
      <c r="I101" s="169" t="str">
        <f t="shared" si="20"/>
        <v/>
      </c>
      <c r="J101" s="172"/>
      <c r="K101" s="167"/>
      <c r="L101" s="172"/>
      <c r="M101" s="172"/>
      <c r="N101" s="172"/>
      <c r="O101" s="172"/>
      <c r="P101" s="177" t="str">
        <f t="shared" si="21"/>
        <v/>
      </c>
      <c r="Q101" s="180"/>
      <c r="R101" s="175"/>
      <c r="S101" s="180"/>
      <c r="T101" s="180"/>
      <c r="U101" s="180"/>
      <c r="V101" s="180"/>
      <c r="W101" s="183" t="str">
        <f t="shared" si="22"/>
        <v/>
      </c>
      <c r="X101" s="186"/>
      <c r="Y101" s="181"/>
      <c r="Z101" s="186"/>
      <c r="AA101" s="186"/>
      <c r="AB101" s="186"/>
      <c r="AC101" s="186"/>
      <c r="AD101" s="218" t="str">
        <f t="shared" si="23"/>
        <v/>
      </c>
      <c r="AE101" s="204"/>
      <c r="AF101" s="198"/>
      <c r="AG101" s="204"/>
      <c r="AH101" s="204"/>
      <c r="AI101" s="204"/>
      <c r="AJ101" s="204"/>
      <c r="AK101" s="209" t="str">
        <f t="shared" si="24"/>
        <v/>
      </c>
      <c r="AL101" s="215"/>
      <c r="AM101" s="207"/>
      <c r="AN101" s="215"/>
      <c r="AO101" s="215"/>
      <c r="AP101" s="215"/>
      <c r="AQ101" s="215"/>
    </row>
    <row r="102" spans="1:43" x14ac:dyDescent="0.2">
      <c r="A102" s="133" t="s">
        <v>42</v>
      </c>
      <c r="B102" s="133" t="s">
        <v>38</v>
      </c>
      <c r="C102" s="133" t="s">
        <v>37</v>
      </c>
      <c r="D102" s="133" t="s">
        <v>357</v>
      </c>
      <c r="E102" s="133" t="s">
        <v>357</v>
      </c>
      <c r="F102" s="135" t="str">
        <f t="shared" si="18"/>
        <v>0703020000</v>
      </c>
      <c r="G102" s="134" t="s">
        <v>433</v>
      </c>
      <c r="H102" s="11" t="str">
        <f t="shared" si="19"/>
        <v>EDIFÍCIOS - R0703020000</v>
      </c>
      <c r="I102" s="169" t="str">
        <f t="shared" si="20"/>
        <v/>
      </c>
      <c r="J102" s="172"/>
      <c r="K102" s="167"/>
      <c r="L102" s="172"/>
      <c r="M102" s="172"/>
      <c r="N102" s="172"/>
      <c r="O102" s="172"/>
      <c r="P102" s="177" t="str">
        <f t="shared" si="21"/>
        <v/>
      </c>
      <c r="Q102" s="180"/>
      <c r="R102" s="175"/>
      <c r="S102" s="180"/>
      <c r="T102" s="180"/>
      <c r="U102" s="180"/>
      <c r="V102" s="180"/>
      <c r="W102" s="183" t="str">
        <f t="shared" si="22"/>
        <v/>
      </c>
      <c r="X102" s="186"/>
      <c r="Y102" s="181"/>
      <c r="Z102" s="186"/>
      <c r="AA102" s="186"/>
      <c r="AB102" s="186"/>
      <c r="AC102" s="186"/>
      <c r="AD102" s="218" t="str">
        <f t="shared" si="23"/>
        <v/>
      </c>
      <c r="AE102" s="204"/>
      <c r="AF102" s="198"/>
      <c r="AG102" s="204"/>
      <c r="AH102" s="204"/>
      <c r="AI102" s="204"/>
      <c r="AJ102" s="204"/>
      <c r="AK102" s="209" t="str">
        <f t="shared" si="24"/>
        <v/>
      </c>
      <c r="AL102" s="215"/>
      <c r="AM102" s="207"/>
      <c r="AN102" s="215"/>
      <c r="AO102" s="215"/>
      <c r="AP102" s="215"/>
      <c r="AQ102" s="215"/>
    </row>
    <row r="103" spans="1:43" x14ac:dyDescent="0.2">
      <c r="A103" s="133" t="s">
        <v>42</v>
      </c>
      <c r="B103" s="133" t="s">
        <v>38</v>
      </c>
      <c r="C103" s="133" t="s">
        <v>329</v>
      </c>
      <c r="D103" s="133" t="s">
        <v>357</v>
      </c>
      <c r="E103" s="133" t="s">
        <v>357</v>
      </c>
      <c r="F103" s="135" t="str">
        <f t="shared" si="18"/>
        <v>0703990000</v>
      </c>
      <c r="G103" s="134" t="s">
        <v>412</v>
      </c>
      <c r="H103" s="11" t="str">
        <f t="shared" si="19"/>
        <v>OUTRAS - R0703990000</v>
      </c>
      <c r="I103" s="169" t="str">
        <f t="shared" si="20"/>
        <v/>
      </c>
      <c r="J103" s="172"/>
      <c r="K103" s="167"/>
      <c r="L103" s="172"/>
      <c r="M103" s="172"/>
      <c r="N103" s="172"/>
      <c r="O103" s="172"/>
      <c r="P103" s="177" t="str">
        <f t="shared" si="21"/>
        <v/>
      </c>
      <c r="Q103" s="180"/>
      <c r="R103" s="175"/>
      <c r="S103" s="180"/>
      <c r="T103" s="180"/>
      <c r="U103" s="180"/>
      <c r="V103" s="180"/>
      <c r="W103" s="183" t="str">
        <f t="shared" si="22"/>
        <v/>
      </c>
      <c r="X103" s="186"/>
      <c r="Y103" s="181"/>
      <c r="Z103" s="186"/>
      <c r="AA103" s="186"/>
      <c r="AB103" s="186"/>
      <c r="AC103" s="186"/>
      <c r="AD103" s="218" t="str">
        <f t="shared" si="23"/>
        <v/>
      </c>
      <c r="AE103" s="204"/>
      <c r="AF103" s="198"/>
      <c r="AG103" s="204"/>
      <c r="AH103" s="204"/>
      <c r="AI103" s="204"/>
      <c r="AJ103" s="204"/>
      <c r="AK103" s="209" t="str">
        <f t="shared" si="24"/>
        <v/>
      </c>
      <c r="AL103" s="215"/>
      <c r="AM103" s="207"/>
      <c r="AN103" s="215"/>
      <c r="AO103" s="215"/>
      <c r="AP103" s="215"/>
      <c r="AQ103" s="215"/>
    </row>
    <row r="104" spans="1:43" x14ac:dyDescent="0.2">
      <c r="A104" s="133" t="s">
        <v>43</v>
      </c>
      <c r="B104" s="133" t="s">
        <v>36</v>
      </c>
      <c r="C104" s="133" t="s">
        <v>36</v>
      </c>
      <c r="D104" s="133" t="s">
        <v>357</v>
      </c>
      <c r="E104" s="133" t="s">
        <v>357</v>
      </c>
      <c r="F104" s="135" t="str">
        <f t="shared" si="18"/>
        <v>0801010000</v>
      </c>
      <c r="G104" s="134" t="s">
        <v>462</v>
      </c>
      <c r="H104" s="11" t="str">
        <f t="shared" si="19"/>
        <v>PRÉMIOS, TAXAS POR GARANTIAS DE RISCO E DIFERENÇAS DE CAMBIO - R0801010000</v>
      </c>
      <c r="I104" s="169" t="str">
        <f t="shared" si="20"/>
        <v/>
      </c>
      <c r="J104" s="172"/>
      <c r="K104" s="167"/>
      <c r="L104" s="172"/>
      <c r="M104" s="172"/>
      <c r="N104" s="172"/>
      <c r="O104" s="172"/>
      <c r="P104" s="177" t="str">
        <f t="shared" si="21"/>
        <v/>
      </c>
      <c r="Q104" s="180"/>
      <c r="R104" s="175"/>
      <c r="S104" s="180"/>
      <c r="T104" s="180"/>
      <c r="U104" s="180"/>
      <c r="V104" s="180"/>
      <c r="W104" s="183" t="str">
        <f t="shared" si="22"/>
        <v/>
      </c>
      <c r="X104" s="186"/>
      <c r="Y104" s="181"/>
      <c r="Z104" s="186"/>
      <c r="AA104" s="186"/>
      <c r="AB104" s="186"/>
      <c r="AC104" s="186"/>
      <c r="AD104" s="218" t="str">
        <f t="shared" si="23"/>
        <v/>
      </c>
      <c r="AE104" s="204"/>
      <c r="AF104" s="198"/>
      <c r="AG104" s="204"/>
      <c r="AH104" s="204"/>
      <c r="AI104" s="204"/>
      <c r="AJ104" s="204"/>
      <c r="AK104" s="209" t="str">
        <f t="shared" si="24"/>
        <v/>
      </c>
      <c r="AL104" s="215"/>
      <c r="AM104" s="207"/>
      <c r="AN104" s="215"/>
      <c r="AO104" s="215"/>
      <c r="AP104" s="215"/>
      <c r="AQ104" s="215"/>
    </row>
    <row r="105" spans="1:43" x14ac:dyDescent="0.2">
      <c r="A105" s="133" t="s">
        <v>43</v>
      </c>
      <c r="B105" s="133" t="s">
        <v>36</v>
      </c>
      <c r="C105" s="133" t="s">
        <v>37</v>
      </c>
      <c r="D105" s="133" t="s">
        <v>357</v>
      </c>
      <c r="E105" s="133" t="s">
        <v>357</v>
      </c>
      <c r="F105" s="135" t="str">
        <f t="shared" si="18"/>
        <v>0801020000</v>
      </c>
      <c r="G105" s="134" t="s">
        <v>461</v>
      </c>
      <c r="H105" s="11" t="str">
        <f t="shared" si="19"/>
        <v>PRODUTO DA VENDA DE VALORES DESAMOEDADOS - R0801020000</v>
      </c>
      <c r="I105" s="169" t="str">
        <f t="shared" si="20"/>
        <v/>
      </c>
      <c r="J105" s="172"/>
      <c r="K105" s="167"/>
      <c r="L105" s="172"/>
      <c r="M105" s="172"/>
      <c r="N105" s="172"/>
      <c r="O105" s="172"/>
      <c r="P105" s="177" t="str">
        <f t="shared" si="21"/>
        <v/>
      </c>
      <c r="Q105" s="180"/>
      <c r="R105" s="175"/>
      <c r="S105" s="180"/>
      <c r="T105" s="180"/>
      <c r="U105" s="180"/>
      <c r="V105" s="180"/>
      <c r="W105" s="183" t="str">
        <f t="shared" si="22"/>
        <v/>
      </c>
      <c r="X105" s="186"/>
      <c r="Y105" s="181"/>
      <c r="Z105" s="186"/>
      <c r="AA105" s="186"/>
      <c r="AB105" s="186"/>
      <c r="AC105" s="186"/>
      <c r="AD105" s="218" t="str">
        <f t="shared" si="23"/>
        <v/>
      </c>
      <c r="AE105" s="204"/>
      <c r="AF105" s="198"/>
      <c r="AG105" s="204"/>
      <c r="AH105" s="204"/>
      <c r="AI105" s="204"/>
      <c r="AJ105" s="204"/>
      <c r="AK105" s="209" t="str">
        <f t="shared" si="24"/>
        <v/>
      </c>
      <c r="AL105" s="215"/>
      <c r="AM105" s="207"/>
      <c r="AN105" s="215"/>
      <c r="AO105" s="215"/>
      <c r="AP105" s="215"/>
      <c r="AQ105" s="215"/>
    </row>
    <row r="106" spans="1:43" x14ac:dyDescent="0.2">
      <c r="A106" s="133" t="s">
        <v>43</v>
      </c>
      <c r="B106" s="133" t="s">
        <v>36</v>
      </c>
      <c r="C106" s="133" t="s">
        <v>38</v>
      </c>
      <c r="D106" s="133" t="s">
        <v>357</v>
      </c>
      <c r="E106" s="133" t="s">
        <v>357</v>
      </c>
      <c r="F106" s="135" t="str">
        <f t="shared" si="18"/>
        <v>0801030000</v>
      </c>
      <c r="G106" s="134" t="s">
        <v>463</v>
      </c>
      <c r="H106" s="11" t="str">
        <f t="shared" si="19"/>
        <v>LUCROS DE AMOEDAÇÃO - R0801030000</v>
      </c>
      <c r="I106" s="169" t="str">
        <f t="shared" si="20"/>
        <v/>
      </c>
      <c r="J106" s="172"/>
      <c r="K106" s="167"/>
      <c r="L106" s="172"/>
      <c r="M106" s="172"/>
      <c r="N106" s="172"/>
      <c r="O106" s="172"/>
      <c r="P106" s="177" t="str">
        <f t="shared" si="21"/>
        <v/>
      </c>
      <c r="Q106" s="180"/>
      <c r="R106" s="175"/>
      <c r="S106" s="180"/>
      <c r="T106" s="180"/>
      <c r="U106" s="180"/>
      <c r="V106" s="180"/>
      <c r="W106" s="183" t="str">
        <f t="shared" si="22"/>
        <v/>
      </c>
      <c r="X106" s="186"/>
      <c r="Y106" s="181"/>
      <c r="Z106" s="186"/>
      <c r="AA106" s="186"/>
      <c r="AB106" s="186"/>
      <c r="AC106" s="186"/>
      <c r="AD106" s="218" t="str">
        <f t="shared" si="23"/>
        <v/>
      </c>
      <c r="AE106" s="204"/>
      <c r="AF106" s="198"/>
      <c r="AG106" s="204"/>
      <c r="AH106" s="204"/>
      <c r="AI106" s="204"/>
      <c r="AJ106" s="204"/>
      <c r="AK106" s="209" t="str">
        <f t="shared" si="24"/>
        <v/>
      </c>
      <c r="AL106" s="215"/>
      <c r="AM106" s="207"/>
      <c r="AN106" s="215"/>
      <c r="AO106" s="215"/>
      <c r="AP106" s="215"/>
      <c r="AQ106" s="215"/>
    </row>
    <row r="107" spans="1:43" x14ac:dyDescent="0.2">
      <c r="A107" s="133" t="s">
        <v>43</v>
      </c>
      <c r="B107" s="133" t="s">
        <v>36</v>
      </c>
      <c r="C107" s="133" t="s">
        <v>329</v>
      </c>
      <c r="D107" s="133" t="s">
        <v>357</v>
      </c>
      <c r="E107" s="133" t="s">
        <v>357</v>
      </c>
      <c r="F107" s="135" t="str">
        <f t="shared" si="18"/>
        <v>0801990000</v>
      </c>
      <c r="G107" s="134" t="s">
        <v>412</v>
      </c>
      <c r="H107" s="11" t="str">
        <f t="shared" si="19"/>
        <v>OUTRAS - R0801990000</v>
      </c>
      <c r="I107" s="169" t="str">
        <f t="shared" si="20"/>
        <v/>
      </c>
      <c r="J107" s="172"/>
      <c r="K107" s="167"/>
      <c r="L107" s="172"/>
      <c r="M107" s="172"/>
      <c r="N107" s="172"/>
      <c r="O107" s="172"/>
      <c r="P107" s="177" t="str">
        <f t="shared" si="21"/>
        <v/>
      </c>
      <c r="Q107" s="180"/>
      <c r="R107" s="175"/>
      <c r="S107" s="180"/>
      <c r="T107" s="180"/>
      <c r="U107" s="180"/>
      <c r="V107" s="180"/>
      <c r="W107" s="183" t="str">
        <f t="shared" si="22"/>
        <v/>
      </c>
      <c r="X107" s="186"/>
      <c r="Y107" s="181"/>
      <c r="Z107" s="186"/>
      <c r="AA107" s="186"/>
      <c r="AB107" s="186"/>
      <c r="AC107" s="186"/>
      <c r="AD107" s="218" t="str">
        <f t="shared" si="23"/>
        <v/>
      </c>
      <c r="AE107" s="204"/>
      <c r="AF107" s="198"/>
      <c r="AG107" s="204"/>
      <c r="AH107" s="204"/>
      <c r="AI107" s="204"/>
      <c r="AJ107" s="204"/>
      <c r="AK107" s="209" t="str">
        <f t="shared" si="24"/>
        <v/>
      </c>
      <c r="AL107" s="215"/>
      <c r="AM107" s="207"/>
      <c r="AN107" s="215"/>
      <c r="AO107" s="215"/>
      <c r="AP107" s="215"/>
      <c r="AQ107" s="215"/>
    </row>
    <row r="108" spans="1:43" x14ac:dyDescent="0.2">
      <c r="A108" s="133" t="s">
        <v>44</v>
      </c>
      <c r="B108" s="133" t="s">
        <v>36</v>
      </c>
      <c r="C108" s="133" t="s">
        <v>36</v>
      </c>
      <c r="D108" s="133" t="s">
        <v>357</v>
      </c>
      <c r="E108" s="133" t="s">
        <v>357</v>
      </c>
      <c r="F108" s="135" t="str">
        <f t="shared" si="18"/>
        <v>0901010000</v>
      </c>
      <c r="G108" s="134" t="s">
        <v>471</v>
      </c>
      <c r="H108" s="11" t="str">
        <f t="shared" si="19"/>
        <v>SOCIEDADES E QUASE SOC. NÃO FINANCEIRAS - R0901010000</v>
      </c>
      <c r="I108" s="169" t="str">
        <f t="shared" si="20"/>
        <v/>
      </c>
      <c r="J108" s="172"/>
      <c r="K108" s="167"/>
      <c r="L108" s="172"/>
      <c r="M108" s="172"/>
      <c r="N108" s="172"/>
      <c r="O108" s="172"/>
      <c r="P108" s="177" t="str">
        <f t="shared" si="21"/>
        <v/>
      </c>
      <c r="Q108" s="180"/>
      <c r="R108" s="175"/>
      <c r="S108" s="180"/>
      <c r="T108" s="180"/>
      <c r="U108" s="180"/>
      <c r="V108" s="180"/>
      <c r="W108" s="183" t="str">
        <f t="shared" si="22"/>
        <v/>
      </c>
      <c r="X108" s="186"/>
      <c r="Y108" s="181"/>
      <c r="Z108" s="186"/>
      <c r="AA108" s="186"/>
      <c r="AB108" s="186"/>
      <c r="AC108" s="186"/>
      <c r="AD108" s="218" t="str">
        <f t="shared" si="23"/>
        <v/>
      </c>
      <c r="AE108" s="204"/>
      <c r="AF108" s="198"/>
      <c r="AG108" s="204"/>
      <c r="AH108" s="204"/>
      <c r="AI108" s="204"/>
      <c r="AJ108" s="204"/>
      <c r="AK108" s="209" t="str">
        <f t="shared" si="24"/>
        <v/>
      </c>
      <c r="AL108" s="215"/>
      <c r="AM108" s="207"/>
      <c r="AN108" s="215"/>
      <c r="AO108" s="215"/>
      <c r="AP108" s="215"/>
      <c r="AQ108" s="215"/>
    </row>
    <row r="109" spans="1:43" x14ac:dyDescent="0.2">
      <c r="A109" s="133" t="s">
        <v>44</v>
      </c>
      <c r="B109" s="133" t="s">
        <v>36</v>
      </c>
      <c r="C109" s="133" t="s">
        <v>37</v>
      </c>
      <c r="D109" s="133" t="s">
        <v>357</v>
      </c>
      <c r="E109" s="133" t="s">
        <v>357</v>
      </c>
      <c r="F109" s="135" t="str">
        <f t="shared" si="18"/>
        <v>0901020000</v>
      </c>
      <c r="G109" s="134" t="s">
        <v>470</v>
      </c>
      <c r="H109" s="11" t="str">
        <f t="shared" si="19"/>
        <v>SOCIEDADES FINANCEIRAS - R0901020000</v>
      </c>
      <c r="I109" s="169" t="str">
        <f t="shared" si="20"/>
        <v/>
      </c>
      <c r="J109" s="172"/>
      <c r="K109" s="167"/>
      <c r="L109" s="172"/>
      <c r="M109" s="172"/>
      <c r="N109" s="172"/>
      <c r="O109" s="172"/>
      <c r="P109" s="177" t="str">
        <f t="shared" si="21"/>
        <v/>
      </c>
      <c r="Q109" s="180"/>
      <c r="R109" s="175"/>
      <c r="S109" s="180"/>
      <c r="T109" s="180"/>
      <c r="U109" s="180"/>
      <c r="V109" s="180"/>
      <c r="W109" s="183" t="str">
        <f t="shared" si="22"/>
        <v/>
      </c>
      <c r="X109" s="186"/>
      <c r="Y109" s="181"/>
      <c r="Z109" s="186"/>
      <c r="AA109" s="186"/>
      <c r="AB109" s="186"/>
      <c r="AC109" s="186"/>
      <c r="AD109" s="218" t="str">
        <f t="shared" si="23"/>
        <v/>
      </c>
      <c r="AE109" s="204"/>
      <c r="AF109" s="198"/>
      <c r="AG109" s="204"/>
      <c r="AH109" s="204"/>
      <c r="AI109" s="204"/>
      <c r="AJ109" s="204"/>
      <c r="AK109" s="209" t="str">
        <f t="shared" si="24"/>
        <v/>
      </c>
      <c r="AL109" s="215"/>
      <c r="AM109" s="207"/>
      <c r="AN109" s="215"/>
      <c r="AO109" s="215"/>
      <c r="AP109" s="215"/>
      <c r="AQ109" s="215"/>
    </row>
    <row r="110" spans="1:43" x14ac:dyDescent="0.2">
      <c r="A110" s="133" t="s">
        <v>44</v>
      </c>
      <c r="B110" s="133" t="s">
        <v>36</v>
      </c>
      <c r="C110" s="133" t="s">
        <v>38</v>
      </c>
      <c r="D110" s="133" t="s">
        <v>357</v>
      </c>
      <c r="E110" s="133" t="s">
        <v>357</v>
      </c>
      <c r="F110" s="135" t="str">
        <f t="shared" si="18"/>
        <v>0901030000</v>
      </c>
      <c r="G110" s="134" t="s">
        <v>467</v>
      </c>
      <c r="H110" s="11" t="str">
        <f t="shared" si="19"/>
        <v>ADM. PUBLICAS - ADM. CENTRAL - ESTADO - R0901030000</v>
      </c>
      <c r="I110" s="169" t="str">
        <f t="shared" si="20"/>
        <v/>
      </c>
      <c r="J110" s="172"/>
      <c r="K110" s="167"/>
      <c r="L110" s="172"/>
      <c r="M110" s="172"/>
      <c r="N110" s="172"/>
      <c r="O110" s="172"/>
      <c r="P110" s="177" t="str">
        <f t="shared" si="21"/>
        <v/>
      </c>
      <c r="Q110" s="180"/>
      <c r="R110" s="175"/>
      <c r="S110" s="180"/>
      <c r="T110" s="180"/>
      <c r="U110" s="180"/>
      <c r="V110" s="180"/>
      <c r="W110" s="183" t="str">
        <f t="shared" si="22"/>
        <v/>
      </c>
      <c r="X110" s="186"/>
      <c r="Y110" s="181"/>
      <c r="Z110" s="186"/>
      <c r="AA110" s="186"/>
      <c r="AB110" s="186"/>
      <c r="AC110" s="186"/>
      <c r="AD110" s="218" t="str">
        <f t="shared" si="23"/>
        <v/>
      </c>
      <c r="AE110" s="204"/>
      <c r="AF110" s="198"/>
      <c r="AG110" s="204"/>
      <c r="AH110" s="204"/>
      <c r="AI110" s="204"/>
      <c r="AJ110" s="204"/>
      <c r="AK110" s="209" t="str">
        <f t="shared" si="24"/>
        <v/>
      </c>
      <c r="AL110" s="215"/>
      <c r="AM110" s="207"/>
      <c r="AN110" s="215"/>
      <c r="AO110" s="215"/>
      <c r="AP110" s="215"/>
      <c r="AQ110" s="215"/>
    </row>
    <row r="111" spans="1:43" x14ac:dyDescent="0.2">
      <c r="A111" s="133" t="s">
        <v>44</v>
      </c>
      <c r="B111" s="133" t="s">
        <v>36</v>
      </c>
      <c r="C111" s="133" t="s">
        <v>39</v>
      </c>
      <c r="D111" s="133" t="s">
        <v>357</v>
      </c>
      <c r="E111" s="133" t="s">
        <v>357</v>
      </c>
      <c r="F111" s="135" t="str">
        <f t="shared" si="18"/>
        <v>0901040000</v>
      </c>
      <c r="G111" s="134" t="s">
        <v>472</v>
      </c>
      <c r="H111" s="11" t="str">
        <f t="shared" si="19"/>
        <v>ADM. PUBLICAS - ADM. CENTRAL - SFA - R0901040000</v>
      </c>
      <c r="I111" s="169" t="str">
        <f t="shared" si="20"/>
        <v/>
      </c>
      <c r="J111" s="172"/>
      <c r="K111" s="167"/>
      <c r="L111" s="172"/>
      <c r="M111" s="172"/>
      <c r="N111" s="172"/>
      <c r="O111" s="172"/>
      <c r="P111" s="177" t="str">
        <f t="shared" si="21"/>
        <v/>
      </c>
      <c r="Q111" s="180"/>
      <c r="R111" s="175"/>
      <c r="S111" s="180"/>
      <c r="T111" s="180"/>
      <c r="U111" s="180"/>
      <c r="V111" s="180"/>
      <c r="W111" s="183" t="str">
        <f t="shared" si="22"/>
        <v/>
      </c>
      <c r="X111" s="186"/>
      <c r="Y111" s="181"/>
      <c r="Z111" s="186"/>
      <c r="AA111" s="186"/>
      <c r="AB111" s="186"/>
      <c r="AC111" s="186"/>
      <c r="AD111" s="218" t="str">
        <f t="shared" si="23"/>
        <v/>
      </c>
      <c r="AE111" s="204"/>
      <c r="AF111" s="198"/>
      <c r="AG111" s="204"/>
      <c r="AH111" s="204"/>
      <c r="AI111" s="204"/>
      <c r="AJ111" s="204"/>
      <c r="AK111" s="209" t="str">
        <f t="shared" si="24"/>
        <v/>
      </c>
      <c r="AL111" s="215"/>
      <c r="AM111" s="207"/>
      <c r="AN111" s="215"/>
      <c r="AO111" s="215"/>
      <c r="AP111" s="215"/>
      <c r="AQ111" s="215"/>
    </row>
    <row r="112" spans="1:43" x14ac:dyDescent="0.2">
      <c r="A112" s="133" t="s">
        <v>44</v>
      </c>
      <c r="B112" s="133" t="s">
        <v>36</v>
      </c>
      <c r="C112" s="133" t="s">
        <v>40</v>
      </c>
      <c r="D112" s="133" t="s">
        <v>357</v>
      </c>
      <c r="E112" s="133" t="s">
        <v>357</v>
      </c>
      <c r="F112" s="135" t="str">
        <f t="shared" si="18"/>
        <v>0901050000</v>
      </c>
      <c r="G112" s="134" t="s">
        <v>465</v>
      </c>
      <c r="H112" s="11" t="str">
        <f t="shared" si="19"/>
        <v>ADM. PUBLICAS - ADM. REGIONAL - R0901050000</v>
      </c>
      <c r="I112" s="169" t="str">
        <f t="shared" si="20"/>
        <v/>
      </c>
      <c r="J112" s="172"/>
      <c r="K112" s="167"/>
      <c r="L112" s="172"/>
      <c r="M112" s="172"/>
      <c r="N112" s="172"/>
      <c r="O112" s="172"/>
      <c r="P112" s="177" t="str">
        <f t="shared" si="21"/>
        <v/>
      </c>
      <c r="Q112" s="180"/>
      <c r="R112" s="175"/>
      <c r="S112" s="180"/>
      <c r="T112" s="180"/>
      <c r="U112" s="180"/>
      <c r="V112" s="180"/>
      <c r="W112" s="183" t="str">
        <f t="shared" si="22"/>
        <v/>
      </c>
      <c r="X112" s="186"/>
      <c r="Y112" s="181"/>
      <c r="Z112" s="186"/>
      <c r="AA112" s="186"/>
      <c r="AB112" s="186"/>
      <c r="AC112" s="186"/>
      <c r="AD112" s="218" t="str">
        <f t="shared" si="23"/>
        <v/>
      </c>
      <c r="AE112" s="204"/>
      <c r="AF112" s="198"/>
      <c r="AG112" s="204"/>
      <c r="AH112" s="204"/>
      <c r="AI112" s="204"/>
      <c r="AJ112" s="204"/>
      <c r="AK112" s="209" t="str">
        <f t="shared" si="24"/>
        <v/>
      </c>
      <c r="AL112" s="215"/>
      <c r="AM112" s="207"/>
      <c r="AN112" s="215"/>
      <c r="AO112" s="215"/>
      <c r="AP112" s="215"/>
      <c r="AQ112" s="215"/>
    </row>
    <row r="113" spans="1:43" x14ac:dyDescent="0.2">
      <c r="A113" s="133" t="s">
        <v>44</v>
      </c>
      <c r="B113" s="133" t="s">
        <v>36</v>
      </c>
      <c r="C113" s="133" t="s">
        <v>41</v>
      </c>
      <c r="D113" s="133" t="s">
        <v>357</v>
      </c>
      <c r="E113" s="133" t="s">
        <v>357</v>
      </c>
      <c r="F113" s="135" t="str">
        <f t="shared" si="18"/>
        <v>0901060000</v>
      </c>
      <c r="G113" s="134" t="s">
        <v>474</v>
      </c>
      <c r="H113" s="11" t="str">
        <f t="shared" si="19"/>
        <v>ADM. PUBLICAS - ADM. LOCAL - CONTINENTE - R0901060000</v>
      </c>
      <c r="I113" s="169" t="str">
        <f t="shared" si="20"/>
        <v/>
      </c>
      <c r="J113" s="172"/>
      <c r="K113" s="167"/>
      <c r="L113" s="172"/>
      <c r="M113" s="172"/>
      <c r="N113" s="172"/>
      <c r="O113" s="172"/>
      <c r="P113" s="177" t="str">
        <f t="shared" si="21"/>
        <v/>
      </c>
      <c r="Q113" s="180"/>
      <c r="R113" s="175"/>
      <c r="S113" s="180"/>
      <c r="T113" s="180"/>
      <c r="U113" s="180"/>
      <c r="V113" s="180"/>
      <c r="W113" s="183" t="str">
        <f t="shared" si="22"/>
        <v/>
      </c>
      <c r="X113" s="186"/>
      <c r="Y113" s="181"/>
      <c r="Z113" s="186"/>
      <c r="AA113" s="186"/>
      <c r="AB113" s="186"/>
      <c r="AC113" s="186"/>
      <c r="AD113" s="218" t="str">
        <f t="shared" si="23"/>
        <v/>
      </c>
      <c r="AE113" s="204"/>
      <c r="AF113" s="198"/>
      <c r="AG113" s="204"/>
      <c r="AH113" s="204"/>
      <c r="AI113" s="204"/>
      <c r="AJ113" s="204"/>
      <c r="AK113" s="209" t="str">
        <f t="shared" si="24"/>
        <v/>
      </c>
      <c r="AL113" s="215"/>
      <c r="AM113" s="207"/>
      <c r="AN113" s="215"/>
      <c r="AO113" s="215"/>
      <c r="AP113" s="215"/>
      <c r="AQ113" s="215"/>
    </row>
    <row r="114" spans="1:43" x14ac:dyDescent="0.2">
      <c r="A114" s="133" t="s">
        <v>44</v>
      </c>
      <c r="B114" s="133" t="s">
        <v>36</v>
      </c>
      <c r="C114" s="133" t="s">
        <v>42</v>
      </c>
      <c r="D114" s="133" t="s">
        <v>357</v>
      </c>
      <c r="E114" s="133" t="s">
        <v>357</v>
      </c>
      <c r="F114" s="135" t="str">
        <f t="shared" si="18"/>
        <v>0901070000</v>
      </c>
      <c r="G114" s="134" t="s">
        <v>468</v>
      </c>
      <c r="H114" s="11" t="str">
        <f t="shared" si="19"/>
        <v>ADM. PUBLICAS - ADM. LOCAL - REGIÕES AUTÓNOMAS - R0901070000</v>
      </c>
      <c r="I114" s="169" t="str">
        <f t="shared" si="20"/>
        <v/>
      </c>
      <c r="J114" s="172"/>
      <c r="K114" s="167"/>
      <c r="L114" s="172"/>
      <c r="M114" s="172"/>
      <c r="N114" s="172"/>
      <c r="O114" s="172"/>
      <c r="P114" s="177" t="str">
        <f t="shared" si="21"/>
        <v/>
      </c>
      <c r="Q114" s="180"/>
      <c r="R114" s="175"/>
      <c r="S114" s="180"/>
      <c r="T114" s="180"/>
      <c r="U114" s="180"/>
      <c r="V114" s="180"/>
      <c r="W114" s="183" t="str">
        <f t="shared" si="22"/>
        <v/>
      </c>
      <c r="X114" s="186"/>
      <c r="Y114" s="181"/>
      <c r="Z114" s="186"/>
      <c r="AA114" s="186"/>
      <c r="AB114" s="186"/>
      <c r="AC114" s="186"/>
      <c r="AD114" s="218" t="str">
        <f t="shared" si="23"/>
        <v/>
      </c>
      <c r="AE114" s="204"/>
      <c r="AF114" s="198"/>
      <c r="AG114" s="204"/>
      <c r="AH114" s="204"/>
      <c r="AI114" s="204"/>
      <c r="AJ114" s="204"/>
      <c r="AK114" s="209" t="str">
        <f t="shared" si="24"/>
        <v/>
      </c>
      <c r="AL114" s="215"/>
      <c r="AM114" s="207"/>
      <c r="AN114" s="215"/>
      <c r="AO114" s="215"/>
      <c r="AP114" s="215"/>
      <c r="AQ114" s="215"/>
    </row>
    <row r="115" spans="1:43" x14ac:dyDescent="0.2">
      <c r="A115" s="133" t="s">
        <v>44</v>
      </c>
      <c r="B115" s="133" t="s">
        <v>36</v>
      </c>
      <c r="C115" s="133" t="s">
        <v>43</v>
      </c>
      <c r="D115" s="133" t="s">
        <v>357</v>
      </c>
      <c r="E115" s="133" t="s">
        <v>357</v>
      </c>
      <c r="F115" s="135" t="str">
        <f t="shared" si="18"/>
        <v>0901080000</v>
      </c>
      <c r="G115" s="134" t="s">
        <v>473</v>
      </c>
      <c r="H115" s="11" t="str">
        <f t="shared" si="19"/>
        <v>ADM. PUBLICAS - SEGURANÇA SOCIAL - R0901080000</v>
      </c>
      <c r="I115" s="169" t="str">
        <f t="shared" si="20"/>
        <v/>
      </c>
      <c r="J115" s="172"/>
      <c r="K115" s="167"/>
      <c r="L115" s="172"/>
      <c r="M115" s="172"/>
      <c r="N115" s="172"/>
      <c r="O115" s="172"/>
      <c r="P115" s="177" t="str">
        <f t="shared" si="21"/>
        <v/>
      </c>
      <c r="Q115" s="180"/>
      <c r="R115" s="175"/>
      <c r="S115" s="180"/>
      <c r="T115" s="180"/>
      <c r="U115" s="180"/>
      <c r="V115" s="180"/>
      <c r="W115" s="183" t="str">
        <f t="shared" si="22"/>
        <v/>
      </c>
      <c r="X115" s="186"/>
      <c r="Y115" s="181"/>
      <c r="Z115" s="186"/>
      <c r="AA115" s="186"/>
      <c r="AB115" s="186"/>
      <c r="AC115" s="186"/>
      <c r="AD115" s="218" t="str">
        <f t="shared" si="23"/>
        <v/>
      </c>
      <c r="AE115" s="204"/>
      <c r="AF115" s="198"/>
      <c r="AG115" s="204"/>
      <c r="AH115" s="204"/>
      <c r="AI115" s="204"/>
      <c r="AJ115" s="204"/>
      <c r="AK115" s="209" t="str">
        <f t="shared" si="24"/>
        <v/>
      </c>
      <c r="AL115" s="215"/>
      <c r="AM115" s="207"/>
      <c r="AN115" s="215"/>
      <c r="AO115" s="215"/>
      <c r="AP115" s="215"/>
      <c r="AQ115" s="215"/>
    </row>
    <row r="116" spans="1:43" x14ac:dyDescent="0.2">
      <c r="A116" s="133" t="s">
        <v>44</v>
      </c>
      <c r="B116" s="133" t="s">
        <v>36</v>
      </c>
      <c r="C116" s="133" t="s">
        <v>44</v>
      </c>
      <c r="D116" s="133" t="s">
        <v>357</v>
      </c>
      <c r="E116" s="133" t="s">
        <v>357</v>
      </c>
      <c r="F116" s="135" t="str">
        <f t="shared" si="18"/>
        <v>0901090000</v>
      </c>
      <c r="G116" s="134" t="s">
        <v>464</v>
      </c>
      <c r="H116" s="11" t="str">
        <f t="shared" si="19"/>
        <v>INSTITUIÇÕES S/FINS LUCRATIVOS - R0901090000</v>
      </c>
      <c r="I116" s="169" t="str">
        <f t="shared" si="20"/>
        <v/>
      </c>
      <c r="J116" s="172"/>
      <c r="K116" s="167"/>
      <c r="L116" s="172"/>
      <c r="M116" s="172"/>
      <c r="N116" s="172"/>
      <c r="O116" s="172"/>
      <c r="P116" s="177" t="str">
        <f t="shared" si="21"/>
        <v/>
      </c>
      <c r="Q116" s="180"/>
      <c r="R116" s="175"/>
      <c r="S116" s="180"/>
      <c r="T116" s="180"/>
      <c r="U116" s="180"/>
      <c r="V116" s="180"/>
      <c r="W116" s="183" t="str">
        <f t="shared" si="22"/>
        <v/>
      </c>
      <c r="X116" s="186"/>
      <c r="Y116" s="181"/>
      <c r="Z116" s="186"/>
      <c r="AA116" s="186"/>
      <c r="AB116" s="186"/>
      <c r="AC116" s="186"/>
      <c r="AD116" s="218" t="str">
        <f t="shared" si="23"/>
        <v/>
      </c>
      <c r="AE116" s="204"/>
      <c r="AF116" s="198"/>
      <c r="AG116" s="204"/>
      <c r="AH116" s="204"/>
      <c r="AI116" s="204"/>
      <c r="AJ116" s="204"/>
      <c r="AK116" s="209" t="str">
        <f t="shared" si="24"/>
        <v/>
      </c>
      <c r="AL116" s="215"/>
      <c r="AM116" s="207"/>
      <c r="AN116" s="215"/>
      <c r="AO116" s="215"/>
      <c r="AP116" s="215"/>
      <c r="AQ116" s="215"/>
    </row>
    <row r="117" spans="1:43" x14ac:dyDescent="0.2">
      <c r="A117" s="133" t="s">
        <v>44</v>
      </c>
      <c r="B117" s="133" t="s">
        <v>36</v>
      </c>
      <c r="C117" s="133" t="s">
        <v>45</v>
      </c>
      <c r="D117" s="133" t="s">
        <v>357</v>
      </c>
      <c r="E117" s="133" t="s">
        <v>357</v>
      </c>
      <c r="F117" s="135" t="str">
        <f t="shared" si="18"/>
        <v>0901100000</v>
      </c>
      <c r="G117" s="134" t="s">
        <v>466</v>
      </c>
      <c r="H117" s="11" t="str">
        <f t="shared" si="19"/>
        <v>FAMÍLIAS - R0901100000</v>
      </c>
      <c r="I117" s="169" t="str">
        <f t="shared" si="20"/>
        <v/>
      </c>
      <c r="J117" s="172"/>
      <c r="K117" s="167"/>
      <c r="L117" s="172"/>
      <c r="M117" s="172"/>
      <c r="N117" s="172"/>
      <c r="O117" s="172"/>
      <c r="P117" s="177" t="str">
        <f t="shared" si="21"/>
        <v/>
      </c>
      <c r="Q117" s="180"/>
      <c r="R117" s="175"/>
      <c r="S117" s="180"/>
      <c r="T117" s="180"/>
      <c r="U117" s="180"/>
      <c r="V117" s="180"/>
      <c r="W117" s="183" t="str">
        <f t="shared" si="22"/>
        <v/>
      </c>
      <c r="X117" s="186"/>
      <c r="Y117" s="181"/>
      <c r="Z117" s="186"/>
      <c r="AA117" s="186"/>
      <c r="AB117" s="186"/>
      <c r="AC117" s="186"/>
      <c r="AD117" s="218" t="str">
        <f t="shared" si="23"/>
        <v/>
      </c>
      <c r="AE117" s="204"/>
      <c r="AF117" s="198"/>
      <c r="AG117" s="204"/>
      <c r="AH117" s="204"/>
      <c r="AI117" s="204"/>
      <c r="AJ117" s="204"/>
      <c r="AK117" s="209" t="str">
        <f t="shared" si="24"/>
        <v/>
      </c>
      <c r="AL117" s="215"/>
      <c r="AM117" s="207"/>
      <c r="AN117" s="215"/>
      <c r="AO117" s="215"/>
      <c r="AP117" s="215"/>
      <c r="AQ117" s="215"/>
    </row>
    <row r="118" spans="1:43" x14ac:dyDescent="0.2">
      <c r="A118" s="133" t="s">
        <v>44</v>
      </c>
      <c r="B118" s="133" t="s">
        <v>36</v>
      </c>
      <c r="C118" s="133" t="s">
        <v>288</v>
      </c>
      <c r="D118" s="133" t="s">
        <v>357</v>
      </c>
      <c r="E118" s="133" t="s">
        <v>357</v>
      </c>
      <c r="F118" s="135" t="str">
        <f t="shared" si="18"/>
        <v>0901110000</v>
      </c>
      <c r="G118" s="134" t="s">
        <v>469</v>
      </c>
      <c r="H118" s="11" t="str">
        <f t="shared" si="19"/>
        <v>RESTO DO MUNDO - UNIÃO EUROPEIA - R0901110000</v>
      </c>
      <c r="I118" s="169" t="str">
        <f t="shared" si="20"/>
        <v/>
      </c>
      <c r="J118" s="172"/>
      <c r="K118" s="167"/>
      <c r="L118" s="172"/>
      <c r="M118" s="172"/>
      <c r="N118" s="172"/>
      <c r="O118" s="172"/>
      <c r="P118" s="177" t="str">
        <f t="shared" si="21"/>
        <v/>
      </c>
      <c r="Q118" s="180"/>
      <c r="R118" s="175"/>
      <c r="S118" s="180"/>
      <c r="T118" s="180"/>
      <c r="U118" s="180"/>
      <c r="V118" s="180"/>
      <c r="W118" s="183" t="str">
        <f t="shared" si="22"/>
        <v/>
      </c>
      <c r="X118" s="186"/>
      <c r="Y118" s="181"/>
      <c r="Z118" s="186"/>
      <c r="AA118" s="186"/>
      <c r="AB118" s="186"/>
      <c r="AC118" s="186"/>
      <c r="AD118" s="218" t="str">
        <f t="shared" si="23"/>
        <v/>
      </c>
      <c r="AE118" s="204"/>
      <c r="AF118" s="198"/>
      <c r="AG118" s="204"/>
      <c r="AH118" s="204"/>
      <c r="AI118" s="204"/>
      <c r="AJ118" s="204"/>
      <c r="AK118" s="209" t="str">
        <f t="shared" si="24"/>
        <v/>
      </c>
      <c r="AL118" s="215"/>
      <c r="AM118" s="207"/>
      <c r="AN118" s="215"/>
      <c r="AO118" s="215"/>
      <c r="AP118" s="215"/>
      <c r="AQ118" s="215"/>
    </row>
    <row r="119" spans="1:43" x14ac:dyDescent="0.2">
      <c r="A119" s="133" t="s">
        <v>44</v>
      </c>
      <c r="B119" s="133" t="s">
        <v>36</v>
      </c>
      <c r="C119" s="133" t="s">
        <v>290</v>
      </c>
      <c r="D119" s="133" t="s">
        <v>357</v>
      </c>
      <c r="E119" s="133" t="s">
        <v>357</v>
      </c>
      <c r="F119" s="135" t="str">
        <f t="shared" si="18"/>
        <v>0901120000</v>
      </c>
      <c r="G119" s="134" t="s">
        <v>475</v>
      </c>
      <c r="H119" s="11" t="str">
        <f t="shared" si="19"/>
        <v>RESTO DO MUNDO - PAÍSES TERCEIROS E ORGANIZAÇÕES INTERNACIONAIS - R0901120000</v>
      </c>
      <c r="I119" s="169" t="str">
        <f t="shared" si="20"/>
        <v/>
      </c>
      <c r="J119" s="172"/>
      <c r="K119" s="167"/>
      <c r="L119" s="172"/>
      <c r="M119" s="172"/>
      <c r="N119" s="172"/>
      <c r="O119" s="172"/>
      <c r="P119" s="177" t="str">
        <f t="shared" si="21"/>
        <v/>
      </c>
      <c r="Q119" s="180"/>
      <c r="R119" s="175"/>
      <c r="S119" s="180"/>
      <c r="T119" s="180"/>
      <c r="U119" s="180"/>
      <c r="V119" s="180"/>
      <c r="W119" s="183" t="str">
        <f t="shared" si="22"/>
        <v/>
      </c>
      <c r="X119" s="186"/>
      <c r="Y119" s="181"/>
      <c r="Z119" s="186"/>
      <c r="AA119" s="186"/>
      <c r="AB119" s="186"/>
      <c r="AC119" s="186"/>
      <c r="AD119" s="218" t="str">
        <f t="shared" si="23"/>
        <v/>
      </c>
      <c r="AE119" s="204"/>
      <c r="AF119" s="198"/>
      <c r="AG119" s="204"/>
      <c r="AH119" s="204"/>
      <c r="AI119" s="204"/>
      <c r="AJ119" s="204"/>
      <c r="AK119" s="209" t="str">
        <f t="shared" si="24"/>
        <v/>
      </c>
      <c r="AL119" s="215"/>
      <c r="AM119" s="207"/>
      <c r="AN119" s="215"/>
      <c r="AO119" s="215"/>
      <c r="AP119" s="215"/>
      <c r="AQ119" s="215"/>
    </row>
    <row r="120" spans="1:43" x14ac:dyDescent="0.2">
      <c r="A120" s="133" t="s">
        <v>44</v>
      </c>
      <c r="B120" s="133" t="s">
        <v>37</v>
      </c>
      <c r="C120" s="133" t="s">
        <v>36</v>
      </c>
      <c r="D120" s="133" t="s">
        <v>357</v>
      </c>
      <c r="E120" s="133" t="s">
        <v>357</v>
      </c>
      <c r="F120" s="135" t="str">
        <f t="shared" si="18"/>
        <v>0902010000</v>
      </c>
      <c r="G120" s="134" t="s">
        <v>471</v>
      </c>
      <c r="H120" s="11" t="str">
        <f t="shared" si="19"/>
        <v>SOCIEDADES E QUASE SOC. NÃO FINANCEIRAS - R0902010000</v>
      </c>
      <c r="I120" s="169" t="str">
        <f t="shared" si="20"/>
        <v/>
      </c>
      <c r="J120" s="172"/>
      <c r="K120" s="167"/>
      <c r="L120" s="172"/>
      <c r="M120" s="172"/>
      <c r="N120" s="172"/>
      <c r="O120" s="172"/>
      <c r="P120" s="177" t="str">
        <f t="shared" si="21"/>
        <v/>
      </c>
      <c r="Q120" s="180"/>
      <c r="R120" s="175"/>
      <c r="S120" s="180"/>
      <c r="T120" s="180"/>
      <c r="U120" s="180"/>
      <c r="V120" s="180"/>
      <c r="W120" s="183" t="str">
        <f t="shared" si="22"/>
        <v/>
      </c>
      <c r="X120" s="186"/>
      <c r="Y120" s="181"/>
      <c r="Z120" s="186"/>
      <c r="AA120" s="186"/>
      <c r="AB120" s="186"/>
      <c r="AC120" s="186"/>
      <c r="AD120" s="218" t="str">
        <f t="shared" si="23"/>
        <v/>
      </c>
      <c r="AE120" s="204"/>
      <c r="AF120" s="198"/>
      <c r="AG120" s="204"/>
      <c r="AH120" s="204"/>
      <c r="AI120" s="204"/>
      <c r="AJ120" s="204"/>
      <c r="AK120" s="209" t="str">
        <f t="shared" si="24"/>
        <v/>
      </c>
      <c r="AL120" s="215"/>
      <c r="AM120" s="207"/>
      <c r="AN120" s="215"/>
      <c r="AO120" s="215"/>
      <c r="AP120" s="215"/>
      <c r="AQ120" s="215"/>
    </row>
    <row r="121" spans="1:43" x14ac:dyDescent="0.2">
      <c r="A121" s="133" t="s">
        <v>44</v>
      </c>
      <c r="B121" s="133" t="s">
        <v>37</v>
      </c>
      <c r="C121" s="133" t="s">
        <v>37</v>
      </c>
      <c r="D121" s="133" t="s">
        <v>357</v>
      </c>
      <c r="E121" s="133" t="s">
        <v>357</v>
      </c>
      <c r="F121" s="135" t="str">
        <f t="shared" si="18"/>
        <v>0902020000</v>
      </c>
      <c r="G121" s="134" t="s">
        <v>470</v>
      </c>
      <c r="H121" s="11" t="str">
        <f t="shared" si="19"/>
        <v>SOCIEDADES FINANCEIRAS - R0902020000</v>
      </c>
      <c r="I121" s="169" t="str">
        <f t="shared" si="20"/>
        <v/>
      </c>
      <c r="J121" s="172"/>
      <c r="K121" s="167"/>
      <c r="L121" s="172"/>
      <c r="M121" s="172"/>
      <c r="N121" s="172"/>
      <c r="O121" s="172"/>
      <c r="P121" s="177" t="str">
        <f t="shared" si="21"/>
        <v/>
      </c>
      <c r="Q121" s="180"/>
      <c r="R121" s="175"/>
      <c r="S121" s="180"/>
      <c r="T121" s="180"/>
      <c r="U121" s="180"/>
      <c r="V121" s="180"/>
      <c r="W121" s="183" t="str">
        <f t="shared" si="22"/>
        <v/>
      </c>
      <c r="X121" s="186"/>
      <c r="Y121" s="181"/>
      <c r="Z121" s="186"/>
      <c r="AA121" s="186"/>
      <c r="AB121" s="186"/>
      <c r="AC121" s="186"/>
      <c r="AD121" s="218" t="str">
        <f t="shared" si="23"/>
        <v/>
      </c>
      <c r="AE121" s="204"/>
      <c r="AF121" s="198"/>
      <c r="AG121" s="204"/>
      <c r="AH121" s="204"/>
      <c r="AI121" s="204"/>
      <c r="AJ121" s="204"/>
      <c r="AK121" s="209" t="str">
        <f t="shared" si="24"/>
        <v/>
      </c>
      <c r="AL121" s="215"/>
      <c r="AM121" s="207"/>
      <c r="AN121" s="215"/>
      <c r="AO121" s="215"/>
      <c r="AP121" s="215"/>
      <c r="AQ121" s="215"/>
    </row>
    <row r="122" spans="1:43" x14ac:dyDescent="0.2">
      <c r="A122" s="133" t="s">
        <v>44</v>
      </c>
      <c r="B122" s="133" t="s">
        <v>37</v>
      </c>
      <c r="C122" s="133" t="s">
        <v>38</v>
      </c>
      <c r="D122" s="133" t="s">
        <v>357</v>
      </c>
      <c r="E122" s="133" t="s">
        <v>357</v>
      </c>
      <c r="F122" s="135" t="str">
        <f t="shared" si="18"/>
        <v>0902030000</v>
      </c>
      <c r="G122" s="134" t="s">
        <v>467</v>
      </c>
      <c r="H122" s="11" t="str">
        <f t="shared" si="19"/>
        <v>ADM. PUBLICAS - ADM. CENTRAL - ESTADO - R0902030000</v>
      </c>
      <c r="I122" s="169" t="str">
        <f t="shared" si="20"/>
        <v/>
      </c>
      <c r="J122" s="172"/>
      <c r="K122" s="167"/>
      <c r="L122" s="172"/>
      <c r="M122" s="172"/>
      <c r="N122" s="172"/>
      <c r="O122" s="172"/>
      <c r="P122" s="177" t="str">
        <f t="shared" si="21"/>
        <v/>
      </c>
      <c r="Q122" s="180"/>
      <c r="R122" s="175"/>
      <c r="S122" s="180"/>
      <c r="T122" s="180"/>
      <c r="U122" s="180"/>
      <c r="V122" s="180"/>
      <c r="W122" s="183" t="str">
        <f t="shared" si="22"/>
        <v/>
      </c>
      <c r="X122" s="186"/>
      <c r="Y122" s="181"/>
      <c r="Z122" s="186"/>
      <c r="AA122" s="186"/>
      <c r="AB122" s="186"/>
      <c r="AC122" s="186"/>
      <c r="AD122" s="218" t="str">
        <f t="shared" si="23"/>
        <v/>
      </c>
      <c r="AE122" s="204"/>
      <c r="AF122" s="198"/>
      <c r="AG122" s="204"/>
      <c r="AH122" s="204"/>
      <c r="AI122" s="204"/>
      <c r="AJ122" s="204"/>
      <c r="AK122" s="209" t="str">
        <f t="shared" si="24"/>
        <v/>
      </c>
      <c r="AL122" s="215"/>
      <c r="AM122" s="207"/>
      <c r="AN122" s="215"/>
      <c r="AO122" s="215"/>
      <c r="AP122" s="215"/>
      <c r="AQ122" s="215"/>
    </row>
    <row r="123" spans="1:43" x14ac:dyDescent="0.2">
      <c r="A123" s="133" t="s">
        <v>44</v>
      </c>
      <c r="B123" s="133" t="s">
        <v>37</v>
      </c>
      <c r="C123" s="133" t="s">
        <v>39</v>
      </c>
      <c r="D123" s="133" t="s">
        <v>357</v>
      </c>
      <c r="E123" s="133" t="s">
        <v>357</v>
      </c>
      <c r="F123" s="135" t="str">
        <f t="shared" si="18"/>
        <v>0902040000</v>
      </c>
      <c r="G123" s="134" t="s">
        <v>472</v>
      </c>
      <c r="H123" s="11" t="str">
        <f t="shared" si="19"/>
        <v>ADM. PUBLICAS - ADM. CENTRAL - SFA - R0902040000</v>
      </c>
      <c r="I123" s="169" t="str">
        <f t="shared" si="20"/>
        <v/>
      </c>
      <c r="J123" s="172"/>
      <c r="K123" s="167"/>
      <c r="L123" s="172"/>
      <c r="M123" s="172"/>
      <c r="N123" s="172"/>
      <c r="O123" s="172"/>
      <c r="P123" s="177" t="str">
        <f t="shared" si="21"/>
        <v/>
      </c>
      <c r="Q123" s="180"/>
      <c r="R123" s="175"/>
      <c r="S123" s="180"/>
      <c r="T123" s="180"/>
      <c r="U123" s="180"/>
      <c r="V123" s="180"/>
      <c r="W123" s="183" t="str">
        <f t="shared" si="22"/>
        <v/>
      </c>
      <c r="X123" s="186"/>
      <c r="Y123" s="181"/>
      <c r="Z123" s="186"/>
      <c r="AA123" s="186"/>
      <c r="AB123" s="186"/>
      <c r="AC123" s="186"/>
      <c r="AD123" s="218" t="str">
        <f t="shared" si="23"/>
        <v/>
      </c>
      <c r="AE123" s="204"/>
      <c r="AF123" s="198"/>
      <c r="AG123" s="204"/>
      <c r="AH123" s="204"/>
      <c r="AI123" s="204"/>
      <c r="AJ123" s="204"/>
      <c r="AK123" s="209" t="str">
        <f t="shared" si="24"/>
        <v/>
      </c>
      <c r="AL123" s="215"/>
      <c r="AM123" s="207"/>
      <c r="AN123" s="215"/>
      <c r="AO123" s="215"/>
      <c r="AP123" s="215"/>
      <c r="AQ123" s="215"/>
    </row>
    <row r="124" spans="1:43" x14ac:dyDescent="0.2">
      <c r="A124" s="133" t="s">
        <v>44</v>
      </c>
      <c r="B124" s="133" t="s">
        <v>37</v>
      </c>
      <c r="C124" s="133" t="s">
        <v>40</v>
      </c>
      <c r="D124" s="133" t="s">
        <v>357</v>
      </c>
      <c r="E124" s="133" t="s">
        <v>357</v>
      </c>
      <c r="F124" s="135" t="str">
        <f t="shared" si="18"/>
        <v>0902050000</v>
      </c>
      <c r="G124" s="134" t="s">
        <v>465</v>
      </c>
      <c r="H124" s="11" t="str">
        <f t="shared" si="19"/>
        <v>ADM. PUBLICAS - ADM. REGIONAL - R0902050000</v>
      </c>
      <c r="I124" s="169" t="str">
        <f t="shared" si="20"/>
        <v/>
      </c>
      <c r="J124" s="172"/>
      <c r="K124" s="167"/>
      <c r="L124" s="172"/>
      <c r="M124" s="172"/>
      <c r="N124" s="172"/>
      <c r="O124" s="172"/>
      <c r="P124" s="177" t="str">
        <f t="shared" si="21"/>
        <v/>
      </c>
      <c r="Q124" s="180"/>
      <c r="R124" s="175"/>
      <c r="S124" s="180"/>
      <c r="T124" s="180"/>
      <c r="U124" s="180"/>
      <c r="V124" s="180"/>
      <c r="W124" s="183" t="str">
        <f t="shared" si="22"/>
        <v/>
      </c>
      <c r="X124" s="186"/>
      <c r="Y124" s="181"/>
      <c r="Z124" s="186"/>
      <c r="AA124" s="186"/>
      <c r="AB124" s="186"/>
      <c r="AC124" s="186"/>
      <c r="AD124" s="218" t="str">
        <f t="shared" si="23"/>
        <v/>
      </c>
      <c r="AE124" s="204"/>
      <c r="AF124" s="198"/>
      <c r="AG124" s="204"/>
      <c r="AH124" s="204"/>
      <c r="AI124" s="204"/>
      <c r="AJ124" s="204"/>
      <c r="AK124" s="209" t="str">
        <f t="shared" si="24"/>
        <v/>
      </c>
      <c r="AL124" s="215"/>
      <c r="AM124" s="207"/>
      <c r="AN124" s="215"/>
      <c r="AO124" s="215"/>
      <c r="AP124" s="215"/>
      <c r="AQ124" s="215"/>
    </row>
    <row r="125" spans="1:43" x14ac:dyDescent="0.2">
      <c r="A125" s="133" t="s">
        <v>44</v>
      </c>
      <c r="B125" s="133" t="s">
        <v>37</v>
      </c>
      <c r="C125" s="133" t="s">
        <v>41</v>
      </c>
      <c r="D125" s="133" t="s">
        <v>357</v>
      </c>
      <c r="E125" s="133" t="s">
        <v>357</v>
      </c>
      <c r="F125" s="135" t="str">
        <f t="shared" si="18"/>
        <v>0902060000</v>
      </c>
      <c r="G125" s="134" t="s">
        <v>474</v>
      </c>
      <c r="H125" s="11" t="str">
        <f t="shared" si="19"/>
        <v>ADM. PUBLICAS - ADM. LOCAL - CONTINENTE - R0902060000</v>
      </c>
      <c r="I125" s="169" t="str">
        <f t="shared" si="20"/>
        <v/>
      </c>
      <c r="J125" s="172"/>
      <c r="K125" s="167"/>
      <c r="L125" s="172"/>
      <c r="M125" s="172"/>
      <c r="N125" s="172"/>
      <c r="O125" s="172"/>
      <c r="P125" s="177" t="str">
        <f t="shared" si="21"/>
        <v/>
      </c>
      <c r="Q125" s="180"/>
      <c r="R125" s="175"/>
      <c r="S125" s="180"/>
      <c r="T125" s="180"/>
      <c r="U125" s="180"/>
      <c r="V125" s="180"/>
      <c r="W125" s="183" t="str">
        <f t="shared" si="22"/>
        <v/>
      </c>
      <c r="X125" s="186"/>
      <c r="Y125" s="181"/>
      <c r="Z125" s="186"/>
      <c r="AA125" s="186"/>
      <c r="AB125" s="186"/>
      <c r="AC125" s="186"/>
      <c r="AD125" s="218" t="str">
        <f t="shared" si="23"/>
        <v/>
      </c>
      <c r="AE125" s="204"/>
      <c r="AF125" s="198"/>
      <c r="AG125" s="204"/>
      <c r="AH125" s="204"/>
      <c r="AI125" s="204"/>
      <c r="AJ125" s="204"/>
      <c r="AK125" s="209" t="str">
        <f t="shared" si="24"/>
        <v/>
      </c>
      <c r="AL125" s="215"/>
      <c r="AM125" s="207"/>
      <c r="AN125" s="215"/>
      <c r="AO125" s="215"/>
      <c r="AP125" s="215"/>
      <c r="AQ125" s="215"/>
    </row>
    <row r="126" spans="1:43" x14ac:dyDescent="0.2">
      <c r="A126" s="133" t="s">
        <v>44</v>
      </c>
      <c r="B126" s="133" t="s">
        <v>37</v>
      </c>
      <c r="C126" s="133" t="s">
        <v>42</v>
      </c>
      <c r="D126" s="133" t="s">
        <v>357</v>
      </c>
      <c r="E126" s="133" t="s">
        <v>357</v>
      </c>
      <c r="F126" s="135" t="str">
        <f t="shared" si="18"/>
        <v>0902070000</v>
      </c>
      <c r="G126" s="134" t="s">
        <v>468</v>
      </c>
      <c r="H126" s="11" t="str">
        <f t="shared" si="19"/>
        <v>ADM. PUBLICAS - ADM. LOCAL - REGIÕES AUTÓNOMAS - R0902070000</v>
      </c>
      <c r="I126" s="169" t="str">
        <f t="shared" si="20"/>
        <v/>
      </c>
      <c r="J126" s="172"/>
      <c r="K126" s="167"/>
      <c r="L126" s="172"/>
      <c r="M126" s="172"/>
      <c r="N126" s="172"/>
      <c r="O126" s="172"/>
      <c r="P126" s="177" t="str">
        <f t="shared" si="21"/>
        <v/>
      </c>
      <c r="Q126" s="180"/>
      <c r="R126" s="175"/>
      <c r="S126" s="180"/>
      <c r="T126" s="180"/>
      <c r="U126" s="180"/>
      <c r="V126" s="180"/>
      <c r="W126" s="183" t="str">
        <f t="shared" si="22"/>
        <v/>
      </c>
      <c r="X126" s="186"/>
      <c r="Y126" s="181"/>
      <c r="Z126" s="186"/>
      <c r="AA126" s="186"/>
      <c r="AB126" s="186"/>
      <c r="AC126" s="186"/>
      <c r="AD126" s="218" t="str">
        <f t="shared" si="23"/>
        <v/>
      </c>
      <c r="AE126" s="204"/>
      <c r="AF126" s="198"/>
      <c r="AG126" s="204"/>
      <c r="AH126" s="204"/>
      <c r="AI126" s="204"/>
      <c r="AJ126" s="204"/>
      <c r="AK126" s="209" t="str">
        <f t="shared" si="24"/>
        <v/>
      </c>
      <c r="AL126" s="215"/>
      <c r="AM126" s="207"/>
      <c r="AN126" s="215"/>
      <c r="AO126" s="215"/>
      <c r="AP126" s="215"/>
      <c r="AQ126" s="215"/>
    </row>
    <row r="127" spans="1:43" x14ac:dyDescent="0.2">
      <c r="A127" s="133" t="s">
        <v>44</v>
      </c>
      <c r="B127" s="133" t="s">
        <v>37</v>
      </c>
      <c r="C127" s="133" t="s">
        <v>43</v>
      </c>
      <c r="D127" s="133" t="s">
        <v>357</v>
      </c>
      <c r="E127" s="133" t="s">
        <v>357</v>
      </c>
      <c r="F127" s="135" t="str">
        <f t="shared" si="18"/>
        <v>0902080000</v>
      </c>
      <c r="G127" s="134" t="s">
        <v>473</v>
      </c>
      <c r="H127" s="11" t="str">
        <f t="shared" si="19"/>
        <v>ADM. PUBLICAS - SEGURANÇA SOCIAL - R0902080000</v>
      </c>
      <c r="I127" s="169" t="str">
        <f t="shared" si="20"/>
        <v/>
      </c>
      <c r="J127" s="172"/>
      <c r="K127" s="167"/>
      <c r="L127" s="172"/>
      <c r="M127" s="172"/>
      <c r="N127" s="172"/>
      <c r="O127" s="172"/>
      <c r="P127" s="177" t="str">
        <f t="shared" si="21"/>
        <v/>
      </c>
      <c r="Q127" s="180"/>
      <c r="R127" s="175"/>
      <c r="S127" s="180"/>
      <c r="T127" s="180"/>
      <c r="U127" s="180"/>
      <c r="V127" s="180"/>
      <c r="W127" s="183" t="str">
        <f t="shared" si="22"/>
        <v/>
      </c>
      <c r="X127" s="186"/>
      <c r="Y127" s="181"/>
      <c r="Z127" s="186"/>
      <c r="AA127" s="186"/>
      <c r="AB127" s="186"/>
      <c r="AC127" s="186"/>
      <c r="AD127" s="218" t="str">
        <f t="shared" si="23"/>
        <v/>
      </c>
      <c r="AE127" s="204"/>
      <c r="AF127" s="198"/>
      <c r="AG127" s="204"/>
      <c r="AH127" s="204"/>
      <c r="AI127" s="204"/>
      <c r="AJ127" s="204"/>
      <c r="AK127" s="209" t="str">
        <f t="shared" si="24"/>
        <v/>
      </c>
      <c r="AL127" s="215"/>
      <c r="AM127" s="207"/>
      <c r="AN127" s="215"/>
      <c r="AO127" s="215"/>
      <c r="AP127" s="215"/>
      <c r="AQ127" s="215"/>
    </row>
    <row r="128" spans="1:43" x14ac:dyDescent="0.2">
      <c r="A128" s="133" t="s">
        <v>44</v>
      </c>
      <c r="B128" s="133" t="s">
        <v>37</v>
      </c>
      <c r="C128" s="133" t="s">
        <v>44</v>
      </c>
      <c r="D128" s="133" t="s">
        <v>357</v>
      </c>
      <c r="E128" s="133" t="s">
        <v>357</v>
      </c>
      <c r="F128" s="135" t="str">
        <f t="shared" si="18"/>
        <v>0902090000</v>
      </c>
      <c r="G128" s="134" t="s">
        <v>464</v>
      </c>
      <c r="H128" s="11" t="str">
        <f t="shared" si="19"/>
        <v>INSTITUIÇÕES S/FINS LUCRATIVOS - R0902090000</v>
      </c>
      <c r="I128" s="169" t="str">
        <f t="shared" si="20"/>
        <v/>
      </c>
      <c r="J128" s="172"/>
      <c r="K128" s="167"/>
      <c r="L128" s="172"/>
      <c r="M128" s="172"/>
      <c r="N128" s="172"/>
      <c r="O128" s="172"/>
      <c r="P128" s="177" t="str">
        <f t="shared" si="21"/>
        <v/>
      </c>
      <c r="Q128" s="180"/>
      <c r="R128" s="175"/>
      <c r="S128" s="180"/>
      <c r="T128" s="180"/>
      <c r="U128" s="180"/>
      <c r="V128" s="180"/>
      <c r="W128" s="183" t="str">
        <f t="shared" si="22"/>
        <v/>
      </c>
      <c r="X128" s="186"/>
      <c r="Y128" s="181"/>
      <c r="Z128" s="186"/>
      <c r="AA128" s="186"/>
      <c r="AB128" s="186"/>
      <c r="AC128" s="186"/>
      <c r="AD128" s="218" t="str">
        <f t="shared" si="23"/>
        <v/>
      </c>
      <c r="AE128" s="204"/>
      <c r="AF128" s="198"/>
      <c r="AG128" s="204"/>
      <c r="AH128" s="204"/>
      <c r="AI128" s="204"/>
      <c r="AJ128" s="204"/>
      <c r="AK128" s="209" t="str">
        <f t="shared" si="24"/>
        <v/>
      </c>
      <c r="AL128" s="215"/>
      <c r="AM128" s="207"/>
      <c r="AN128" s="215"/>
      <c r="AO128" s="215"/>
      <c r="AP128" s="215"/>
      <c r="AQ128" s="215"/>
    </row>
    <row r="129" spans="1:43" x14ac:dyDescent="0.2">
      <c r="A129" s="133" t="s">
        <v>44</v>
      </c>
      <c r="B129" s="133" t="s">
        <v>37</v>
      </c>
      <c r="C129" s="133" t="s">
        <v>45</v>
      </c>
      <c r="D129" s="133" t="s">
        <v>357</v>
      </c>
      <c r="E129" s="133" t="s">
        <v>357</v>
      </c>
      <c r="F129" s="135" t="str">
        <f t="shared" si="18"/>
        <v>0902100000</v>
      </c>
      <c r="G129" s="134" t="s">
        <v>466</v>
      </c>
      <c r="H129" s="11" t="str">
        <f t="shared" si="19"/>
        <v>FAMÍLIAS - R0902100000</v>
      </c>
      <c r="I129" s="169" t="str">
        <f t="shared" si="20"/>
        <v/>
      </c>
      <c r="J129" s="172"/>
      <c r="K129" s="167"/>
      <c r="L129" s="172"/>
      <c r="M129" s="172"/>
      <c r="N129" s="172"/>
      <c r="O129" s="172"/>
      <c r="P129" s="177" t="str">
        <f t="shared" si="21"/>
        <v/>
      </c>
      <c r="Q129" s="180"/>
      <c r="R129" s="175"/>
      <c r="S129" s="180"/>
      <c r="T129" s="180"/>
      <c r="U129" s="180"/>
      <c r="V129" s="180"/>
      <c r="W129" s="183" t="str">
        <f t="shared" si="22"/>
        <v/>
      </c>
      <c r="X129" s="186"/>
      <c r="Y129" s="181"/>
      <c r="Z129" s="186"/>
      <c r="AA129" s="186"/>
      <c r="AB129" s="186"/>
      <c r="AC129" s="186"/>
      <c r="AD129" s="218" t="str">
        <f t="shared" si="23"/>
        <v/>
      </c>
      <c r="AE129" s="204"/>
      <c r="AF129" s="198"/>
      <c r="AG129" s="204"/>
      <c r="AH129" s="204"/>
      <c r="AI129" s="204"/>
      <c r="AJ129" s="204"/>
      <c r="AK129" s="209" t="str">
        <f t="shared" si="24"/>
        <v/>
      </c>
      <c r="AL129" s="215"/>
      <c r="AM129" s="207"/>
      <c r="AN129" s="215"/>
      <c r="AO129" s="215"/>
      <c r="AP129" s="215"/>
      <c r="AQ129" s="215"/>
    </row>
    <row r="130" spans="1:43" x14ac:dyDescent="0.2">
      <c r="A130" s="133" t="s">
        <v>44</v>
      </c>
      <c r="B130" s="133" t="s">
        <v>37</v>
      </c>
      <c r="C130" s="133" t="s">
        <v>288</v>
      </c>
      <c r="D130" s="133" t="s">
        <v>357</v>
      </c>
      <c r="E130" s="133" t="s">
        <v>357</v>
      </c>
      <c r="F130" s="135" t="str">
        <f t="shared" ref="F130:F182" si="25">_xlfn.CONCAT(A130:E130)</f>
        <v>0902110000</v>
      </c>
      <c r="G130" s="134" t="s">
        <v>469</v>
      </c>
      <c r="H130" s="11" t="str">
        <f t="shared" si="19"/>
        <v>RESTO DO MUNDO - UNIÃO EUROPEIA - R0902110000</v>
      </c>
      <c r="I130" s="169" t="str">
        <f t="shared" si="20"/>
        <v/>
      </c>
      <c r="J130" s="172"/>
      <c r="K130" s="167"/>
      <c r="L130" s="172"/>
      <c r="M130" s="172"/>
      <c r="N130" s="172"/>
      <c r="O130" s="172"/>
      <c r="P130" s="177" t="str">
        <f t="shared" si="21"/>
        <v/>
      </c>
      <c r="Q130" s="180"/>
      <c r="R130" s="175"/>
      <c r="S130" s="180"/>
      <c r="T130" s="180"/>
      <c r="U130" s="180"/>
      <c r="V130" s="180"/>
      <c r="W130" s="183" t="str">
        <f t="shared" si="22"/>
        <v/>
      </c>
      <c r="X130" s="186"/>
      <c r="Y130" s="181"/>
      <c r="Z130" s="186"/>
      <c r="AA130" s="186"/>
      <c r="AB130" s="186"/>
      <c r="AC130" s="186"/>
      <c r="AD130" s="218" t="str">
        <f t="shared" si="23"/>
        <v/>
      </c>
      <c r="AE130" s="204"/>
      <c r="AF130" s="198"/>
      <c r="AG130" s="204"/>
      <c r="AH130" s="204"/>
      <c r="AI130" s="204"/>
      <c r="AJ130" s="204"/>
      <c r="AK130" s="209" t="str">
        <f t="shared" si="24"/>
        <v/>
      </c>
      <c r="AL130" s="215"/>
      <c r="AM130" s="207"/>
      <c r="AN130" s="215"/>
      <c r="AO130" s="215"/>
      <c r="AP130" s="215"/>
      <c r="AQ130" s="215"/>
    </row>
    <row r="131" spans="1:43" x14ac:dyDescent="0.2">
      <c r="A131" s="133" t="s">
        <v>44</v>
      </c>
      <c r="B131" s="133" t="s">
        <v>37</v>
      </c>
      <c r="C131" s="133" t="s">
        <v>290</v>
      </c>
      <c r="D131" s="133" t="s">
        <v>357</v>
      </c>
      <c r="E131" s="133" t="s">
        <v>357</v>
      </c>
      <c r="F131" s="135" t="str">
        <f t="shared" si="25"/>
        <v>0902120000</v>
      </c>
      <c r="G131" s="134" t="s">
        <v>475</v>
      </c>
      <c r="H131" s="11" t="str">
        <f t="shared" ref="H131:H181" si="26">G131&amp;" - R"&amp;F131</f>
        <v>RESTO DO MUNDO - PAÍSES TERCEIROS E ORGANIZAÇÕES INTERNACIONAIS - R0902120000</v>
      </c>
      <c r="I131" s="169" t="str">
        <f t="shared" ref="I131:I194" si="27">IF($C131="00","",IF($B131="00","",IF($A131=$K$3,ROW($A131),"")))</f>
        <v/>
      </c>
      <c r="J131" s="172"/>
      <c r="K131" s="167"/>
      <c r="L131" s="172"/>
      <c r="M131" s="172"/>
      <c r="N131" s="172"/>
      <c r="O131" s="172"/>
      <c r="P131" s="177" t="str">
        <f t="shared" ref="P131:P194" si="28">IF($C131="00","",IF($B131="00","",IF($A131=$R$3,ROW($A131),"")))</f>
        <v/>
      </c>
      <c r="Q131" s="180"/>
      <c r="R131" s="175"/>
      <c r="S131" s="180"/>
      <c r="T131" s="180"/>
      <c r="U131" s="180"/>
      <c r="V131" s="180"/>
      <c r="W131" s="183" t="str">
        <f t="shared" ref="W131:W194" si="29">IF($C131="00","",IF($B131="00","",IF($A131=$Y$3,ROW($A131),"")))</f>
        <v/>
      </c>
      <c r="X131" s="186"/>
      <c r="Y131" s="181"/>
      <c r="Z131" s="186"/>
      <c r="AA131" s="186"/>
      <c r="AB131" s="186"/>
      <c r="AC131" s="186"/>
      <c r="AD131" s="218" t="str">
        <f t="shared" ref="AD131:AD194" si="30">IF($C131="00","",IF($B131="00","",IF($A131=$AF$3,ROW($A131),"")))</f>
        <v/>
      </c>
      <c r="AE131" s="204"/>
      <c r="AF131" s="198"/>
      <c r="AG131" s="204"/>
      <c r="AH131" s="204"/>
      <c r="AI131" s="204"/>
      <c r="AJ131" s="204"/>
      <c r="AK131" s="209" t="str">
        <f t="shared" ref="AK131:AK194" si="31">IF($C131="00","",IF($B131="00","",IF($A131=$AM$3,ROW($A131),"")))</f>
        <v/>
      </c>
      <c r="AL131" s="215"/>
      <c r="AM131" s="207"/>
      <c r="AN131" s="215"/>
      <c r="AO131" s="215"/>
      <c r="AP131" s="215"/>
      <c r="AQ131" s="215"/>
    </row>
    <row r="132" spans="1:43" x14ac:dyDescent="0.2">
      <c r="A132" s="133" t="s">
        <v>44</v>
      </c>
      <c r="B132" s="133" t="s">
        <v>38</v>
      </c>
      <c r="C132" s="133" t="s">
        <v>36</v>
      </c>
      <c r="D132" s="133" t="s">
        <v>357</v>
      </c>
      <c r="E132" s="133" t="s">
        <v>357</v>
      </c>
      <c r="F132" s="135" t="str">
        <f t="shared" si="25"/>
        <v>0903010000</v>
      </c>
      <c r="G132" s="134" t="s">
        <v>471</v>
      </c>
      <c r="H132" s="11" t="str">
        <f t="shared" si="26"/>
        <v>SOCIEDADES E QUASE SOC. NÃO FINANCEIRAS - R0903010000</v>
      </c>
      <c r="I132" s="169" t="str">
        <f t="shared" si="27"/>
        <v/>
      </c>
      <c r="J132" s="172"/>
      <c r="K132" s="167"/>
      <c r="L132" s="172"/>
      <c r="M132" s="172"/>
      <c r="N132" s="172"/>
      <c r="O132" s="172"/>
      <c r="P132" s="177" t="str">
        <f t="shared" si="28"/>
        <v/>
      </c>
      <c r="Q132" s="180"/>
      <c r="R132" s="175"/>
      <c r="S132" s="180"/>
      <c r="T132" s="180"/>
      <c r="U132" s="180"/>
      <c r="V132" s="180"/>
      <c r="W132" s="183" t="str">
        <f t="shared" si="29"/>
        <v/>
      </c>
      <c r="X132" s="186"/>
      <c r="Y132" s="181"/>
      <c r="Z132" s="186"/>
      <c r="AA132" s="186"/>
      <c r="AB132" s="186"/>
      <c r="AC132" s="186"/>
      <c r="AD132" s="218" t="str">
        <f t="shared" si="30"/>
        <v/>
      </c>
      <c r="AE132" s="204"/>
      <c r="AF132" s="198"/>
      <c r="AG132" s="204"/>
      <c r="AH132" s="204"/>
      <c r="AI132" s="204"/>
      <c r="AJ132" s="204"/>
      <c r="AK132" s="209" t="str">
        <f t="shared" si="31"/>
        <v/>
      </c>
      <c r="AL132" s="215"/>
      <c r="AM132" s="207"/>
      <c r="AN132" s="215"/>
      <c r="AO132" s="215"/>
      <c r="AP132" s="215"/>
      <c r="AQ132" s="215"/>
    </row>
    <row r="133" spans="1:43" x14ac:dyDescent="0.2">
      <c r="A133" s="133" t="s">
        <v>44</v>
      </c>
      <c r="B133" s="133" t="s">
        <v>38</v>
      </c>
      <c r="C133" s="133" t="s">
        <v>37</v>
      </c>
      <c r="D133" s="133" t="s">
        <v>357</v>
      </c>
      <c r="E133" s="133" t="s">
        <v>357</v>
      </c>
      <c r="F133" s="135" t="str">
        <f t="shared" si="25"/>
        <v>0903020000</v>
      </c>
      <c r="G133" s="134" t="s">
        <v>470</v>
      </c>
      <c r="H133" s="11" t="str">
        <f t="shared" si="26"/>
        <v>SOCIEDADES FINANCEIRAS - R0903020000</v>
      </c>
      <c r="I133" s="169" t="str">
        <f t="shared" si="27"/>
        <v/>
      </c>
      <c r="J133" s="172"/>
      <c r="K133" s="167"/>
      <c r="L133" s="172"/>
      <c r="M133" s="172"/>
      <c r="N133" s="172"/>
      <c r="O133" s="172"/>
      <c r="P133" s="177" t="str">
        <f t="shared" si="28"/>
        <v/>
      </c>
      <c r="Q133" s="180"/>
      <c r="R133" s="175"/>
      <c r="S133" s="180"/>
      <c r="T133" s="180"/>
      <c r="U133" s="180"/>
      <c r="V133" s="180"/>
      <c r="W133" s="183" t="str">
        <f t="shared" si="29"/>
        <v/>
      </c>
      <c r="X133" s="186"/>
      <c r="Y133" s="181"/>
      <c r="Z133" s="186"/>
      <c r="AA133" s="186"/>
      <c r="AB133" s="186"/>
      <c r="AC133" s="186"/>
      <c r="AD133" s="218" t="str">
        <f t="shared" si="30"/>
        <v/>
      </c>
      <c r="AE133" s="204"/>
      <c r="AF133" s="198"/>
      <c r="AG133" s="204"/>
      <c r="AH133" s="204"/>
      <c r="AI133" s="204"/>
      <c r="AJ133" s="204"/>
      <c r="AK133" s="209" t="str">
        <f t="shared" si="31"/>
        <v/>
      </c>
      <c r="AL133" s="215"/>
      <c r="AM133" s="207"/>
      <c r="AN133" s="215"/>
      <c r="AO133" s="215"/>
      <c r="AP133" s="215"/>
      <c r="AQ133" s="215"/>
    </row>
    <row r="134" spans="1:43" x14ac:dyDescent="0.2">
      <c r="A134" s="133" t="s">
        <v>44</v>
      </c>
      <c r="B134" s="133" t="s">
        <v>38</v>
      </c>
      <c r="C134" s="133" t="s">
        <v>38</v>
      </c>
      <c r="D134" s="133" t="s">
        <v>357</v>
      </c>
      <c r="E134" s="133" t="s">
        <v>357</v>
      </c>
      <c r="F134" s="135" t="str">
        <f t="shared" si="25"/>
        <v>0903030000</v>
      </c>
      <c r="G134" s="134" t="s">
        <v>467</v>
      </c>
      <c r="H134" s="11" t="str">
        <f t="shared" si="26"/>
        <v>ADM. PUBLICAS - ADM. CENTRAL - ESTADO - R0903030000</v>
      </c>
      <c r="I134" s="169" t="str">
        <f t="shared" si="27"/>
        <v/>
      </c>
      <c r="J134" s="172"/>
      <c r="K134" s="167"/>
      <c r="L134" s="172"/>
      <c r="M134" s="172"/>
      <c r="N134" s="172"/>
      <c r="O134" s="172"/>
      <c r="P134" s="177" t="str">
        <f t="shared" si="28"/>
        <v/>
      </c>
      <c r="Q134" s="180"/>
      <c r="R134" s="175"/>
      <c r="S134" s="180"/>
      <c r="T134" s="180"/>
      <c r="U134" s="180"/>
      <c r="V134" s="180"/>
      <c r="W134" s="183" t="str">
        <f t="shared" si="29"/>
        <v/>
      </c>
      <c r="X134" s="186"/>
      <c r="Y134" s="181"/>
      <c r="Z134" s="186"/>
      <c r="AA134" s="186"/>
      <c r="AB134" s="186"/>
      <c r="AC134" s="186"/>
      <c r="AD134" s="218" t="str">
        <f t="shared" si="30"/>
        <v/>
      </c>
      <c r="AE134" s="204"/>
      <c r="AF134" s="198"/>
      <c r="AG134" s="204"/>
      <c r="AH134" s="204"/>
      <c r="AI134" s="204"/>
      <c r="AJ134" s="204"/>
      <c r="AK134" s="209" t="str">
        <f t="shared" si="31"/>
        <v/>
      </c>
      <c r="AL134" s="215"/>
      <c r="AM134" s="207"/>
      <c r="AN134" s="215"/>
      <c r="AO134" s="215"/>
      <c r="AP134" s="215"/>
      <c r="AQ134" s="215"/>
    </row>
    <row r="135" spans="1:43" x14ac:dyDescent="0.2">
      <c r="A135" s="133" t="s">
        <v>44</v>
      </c>
      <c r="B135" s="133" t="s">
        <v>38</v>
      </c>
      <c r="C135" s="133" t="s">
        <v>39</v>
      </c>
      <c r="D135" s="133" t="s">
        <v>357</v>
      </c>
      <c r="E135" s="133" t="s">
        <v>357</v>
      </c>
      <c r="F135" s="135" t="str">
        <f t="shared" si="25"/>
        <v>0903040000</v>
      </c>
      <c r="G135" s="134" t="s">
        <v>472</v>
      </c>
      <c r="H135" s="11" t="str">
        <f t="shared" si="26"/>
        <v>ADM. PUBLICAS - ADM. CENTRAL - SFA - R0903040000</v>
      </c>
      <c r="I135" s="169" t="str">
        <f t="shared" si="27"/>
        <v/>
      </c>
      <c r="J135" s="172"/>
      <c r="K135" s="167"/>
      <c r="L135" s="172"/>
      <c r="M135" s="172"/>
      <c r="N135" s="172"/>
      <c r="O135" s="172"/>
      <c r="P135" s="177" t="str">
        <f t="shared" si="28"/>
        <v/>
      </c>
      <c r="Q135" s="180"/>
      <c r="R135" s="175"/>
      <c r="S135" s="180"/>
      <c r="T135" s="180"/>
      <c r="U135" s="180"/>
      <c r="V135" s="180"/>
      <c r="W135" s="183" t="str">
        <f t="shared" si="29"/>
        <v/>
      </c>
      <c r="X135" s="186"/>
      <c r="Y135" s="181"/>
      <c r="Z135" s="186"/>
      <c r="AA135" s="186"/>
      <c r="AB135" s="186"/>
      <c r="AC135" s="186"/>
      <c r="AD135" s="218" t="str">
        <f t="shared" si="30"/>
        <v/>
      </c>
      <c r="AE135" s="204"/>
      <c r="AF135" s="198"/>
      <c r="AG135" s="204"/>
      <c r="AH135" s="204"/>
      <c r="AI135" s="204"/>
      <c r="AJ135" s="204"/>
      <c r="AK135" s="209" t="str">
        <f t="shared" si="31"/>
        <v/>
      </c>
      <c r="AL135" s="215"/>
      <c r="AM135" s="207"/>
      <c r="AN135" s="215"/>
      <c r="AO135" s="215"/>
      <c r="AP135" s="215"/>
      <c r="AQ135" s="215"/>
    </row>
    <row r="136" spans="1:43" x14ac:dyDescent="0.2">
      <c r="A136" s="133" t="s">
        <v>44</v>
      </c>
      <c r="B136" s="133" t="s">
        <v>38</v>
      </c>
      <c r="C136" s="133" t="s">
        <v>40</v>
      </c>
      <c r="D136" s="133" t="s">
        <v>357</v>
      </c>
      <c r="E136" s="133" t="s">
        <v>357</v>
      </c>
      <c r="F136" s="135" t="str">
        <f t="shared" si="25"/>
        <v>0903050000</v>
      </c>
      <c r="G136" s="134" t="s">
        <v>465</v>
      </c>
      <c r="H136" s="11" t="str">
        <f t="shared" si="26"/>
        <v>ADM. PUBLICAS - ADM. REGIONAL - R0903050000</v>
      </c>
      <c r="I136" s="169" t="str">
        <f t="shared" si="27"/>
        <v/>
      </c>
      <c r="J136" s="172"/>
      <c r="K136" s="167"/>
      <c r="L136" s="172"/>
      <c r="M136" s="172"/>
      <c r="N136" s="172"/>
      <c r="O136" s="172"/>
      <c r="P136" s="177" t="str">
        <f t="shared" si="28"/>
        <v/>
      </c>
      <c r="Q136" s="180"/>
      <c r="R136" s="175"/>
      <c r="S136" s="180"/>
      <c r="T136" s="180"/>
      <c r="U136" s="180"/>
      <c r="V136" s="180"/>
      <c r="W136" s="183" t="str">
        <f t="shared" si="29"/>
        <v/>
      </c>
      <c r="X136" s="186"/>
      <c r="Y136" s="181"/>
      <c r="Z136" s="186"/>
      <c r="AA136" s="186"/>
      <c r="AB136" s="186"/>
      <c r="AC136" s="186"/>
      <c r="AD136" s="218" t="str">
        <f t="shared" si="30"/>
        <v/>
      </c>
      <c r="AE136" s="204"/>
      <c r="AF136" s="198"/>
      <c r="AG136" s="204"/>
      <c r="AH136" s="204"/>
      <c r="AI136" s="204"/>
      <c r="AJ136" s="204"/>
      <c r="AK136" s="209" t="str">
        <f t="shared" si="31"/>
        <v/>
      </c>
      <c r="AL136" s="215"/>
      <c r="AM136" s="207"/>
      <c r="AN136" s="215"/>
      <c r="AO136" s="215"/>
      <c r="AP136" s="215"/>
      <c r="AQ136" s="215"/>
    </row>
    <row r="137" spans="1:43" x14ac:dyDescent="0.2">
      <c r="A137" s="133" t="s">
        <v>44</v>
      </c>
      <c r="B137" s="133" t="s">
        <v>38</v>
      </c>
      <c r="C137" s="133" t="s">
        <v>41</v>
      </c>
      <c r="D137" s="133" t="s">
        <v>357</v>
      </c>
      <c r="E137" s="133" t="s">
        <v>357</v>
      </c>
      <c r="F137" s="135" t="str">
        <f t="shared" si="25"/>
        <v>0903060000</v>
      </c>
      <c r="G137" s="134" t="s">
        <v>474</v>
      </c>
      <c r="H137" s="11" t="str">
        <f t="shared" si="26"/>
        <v>ADM. PUBLICAS - ADM. LOCAL - CONTINENTE - R0903060000</v>
      </c>
      <c r="I137" s="169" t="str">
        <f t="shared" si="27"/>
        <v/>
      </c>
      <c r="J137" s="172"/>
      <c r="K137" s="167"/>
      <c r="L137" s="172"/>
      <c r="M137" s="172"/>
      <c r="N137" s="172"/>
      <c r="O137" s="172"/>
      <c r="P137" s="177" t="str">
        <f t="shared" si="28"/>
        <v/>
      </c>
      <c r="Q137" s="180"/>
      <c r="R137" s="175"/>
      <c r="S137" s="180"/>
      <c r="T137" s="180"/>
      <c r="U137" s="180"/>
      <c r="V137" s="180"/>
      <c r="W137" s="183" t="str">
        <f t="shared" si="29"/>
        <v/>
      </c>
      <c r="X137" s="186"/>
      <c r="Y137" s="181"/>
      <c r="Z137" s="186"/>
      <c r="AA137" s="186"/>
      <c r="AB137" s="186"/>
      <c r="AC137" s="186"/>
      <c r="AD137" s="218" t="str">
        <f t="shared" si="30"/>
        <v/>
      </c>
      <c r="AE137" s="204"/>
      <c r="AF137" s="198"/>
      <c r="AG137" s="204"/>
      <c r="AH137" s="204"/>
      <c r="AI137" s="204"/>
      <c r="AJ137" s="204"/>
      <c r="AK137" s="209" t="str">
        <f t="shared" si="31"/>
        <v/>
      </c>
      <c r="AL137" s="215"/>
      <c r="AM137" s="207"/>
      <c r="AN137" s="215"/>
      <c r="AO137" s="215"/>
      <c r="AP137" s="215"/>
      <c r="AQ137" s="215"/>
    </row>
    <row r="138" spans="1:43" x14ac:dyDescent="0.2">
      <c r="A138" s="133" t="s">
        <v>44</v>
      </c>
      <c r="B138" s="133" t="s">
        <v>38</v>
      </c>
      <c r="C138" s="133" t="s">
        <v>42</v>
      </c>
      <c r="D138" s="133" t="s">
        <v>357</v>
      </c>
      <c r="E138" s="133" t="s">
        <v>357</v>
      </c>
      <c r="F138" s="135" t="str">
        <f t="shared" si="25"/>
        <v>0903070000</v>
      </c>
      <c r="G138" s="134" t="s">
        <v>468</v>
      </c>
      <c r="H138" s="11" t="str">
        <f t="shared" si="26"/>
        <v>ADM. PUBLICAS - ADM. LOCAL - REGIÕES AUTÓNOMAS - R0903070000</v>
      </c>
      <c r="I138" s="169" t="str">
        <f t="shared" si="27"/>
        <v/>
      </c>
      <c r="J138" s="172"/>
      <c r="K138" s="167"/>
      <c r="L138" s="172"/>
      <c r="M138" s="172"/>
      <c r="N138" s="172"/>
      <c r="O138" s="172"/>
      <c r="P138" s="177" t="str">
        <f t="shared" si="28"/>
        <v/>
      </c>
      <c r="Q138" s="180"/>
      <c r="R138" s="175"/>
      <c r="S138" s="180"/>
      <c r="T138" s="180"/>
      <c r="U138" s="180"/>
      <c r="V138" s="180"/>
      <c r="W138" s="183" t="str">
        <f t="shared" si="29"/>
        <v/>
      </c>
      <c r="X138" s="186"/>
      <c r="Y138" s="181"/>
      <c r="Z138" s="186"/>
      <c r="AA138" s="186"/>
      <c r="AB138" s="186"/>
      <c r="AC138" s="186"/>
      <c r="AD138" s="218" t="str">
        <f t="shared" si="30"/>
        <v/>
      </c>
      <c r="AE138" s="204"/>
      <c r="AF138" s="198"/>
      <c r="AG138" s="204"/>
      <c r="AH138" s="204"/>
      <c r="AI138" s="204"/>
      <c r="AJ138" s="204"/>
      <c r="AK138" s="209" t="str">
        <f t="shared" si="31"/>
        <v/>
      </c>
      <c r="AL138" s="215"/>
      <c r="AM138" s="207"/>
      <c r="AN138" s="215"/>
      <c r="AO138" s="215"/>
      <c r="AP138" s="215"/>
      <c r="AQ138" s="215"/>
    </row>
    <row r="139" spans="1:43" x14ac:dyDescent="0.2">
      <c r="A139" s="133" t="s">
        <v>44</v>
      </c>
      <c r="B139" s="133" t="s">
        <v>38</v>
      </c>
      <c r="C139" s="133" t="s">
        <v>43</v>
      </c>
      <c r="D139" s="133" t="s">
        <v>357</v>
      </c>
      <c r="E139" s="133" t="s">
        <v>357</v>
      </c>
      <c r="F139" s="135" t="str">
        <f t="shared" si="25"/>
        <v>0903080000</v>
      </c>
      <c r="G139" s="134" t="s">
        <v>473</v>
      </c>
      <c r="H139" s="11" t="str">
        <f t="shared" si="26"/>
        <v>ADM. PUBLICAS - SEGURANÇA SOCIAL - R0903080000</v>
      </c>
      <c r="I139" s="169" t="str">
        <f t="shared" si="27"/>
        <v/>
      </c>
      <c r="J139" s="172"/>
      <c r="K139" s="167"/>
      <c r="L139" s="172"/>
      <c r="M139" s="172"/>
      <c r="N139" s="172"/>
      <c r="O139" s="172"/>
      <c r="P139" s="177" t="str">
        <f t="shared" si="28"/>
        <v/>
      </c>
      <c r="Q139" s="180"/>
      <c r="R139" s="175"/>
      <c r="S139" s="180"/>
      <c r="T139" s="180"/>
      <c r="U139" s="180"/>
      <c r="V139" s="180"/>
      <c r="W139" s="183" t="str">
        <f t="shared" si="29"/>
        <v/>
      </c>
      <c r="X139" s="186"/>
      <c r="Y139" s="181"/>
      <c r="Z139" s="186"/>
      <c r="AA139" s="186"/>
      <c r="AB139" s="186"/>
      <c r="AC139" s="186"/>
      <c r="AD139" s="218" t="str">
        <f t="shared" si="30"/>
        <v/>
      </c>
      <c r="AE139" s="204"/>
      <c r="AF139" s="198"/>
      <c r="AG139" s="204"/>
      <c r="AH139" s="204"/>
      <c r="AI139" s="204"/>
      <c r="AJ139" s="204"/>
      <c r="AK139" s="209" t="str">
        <f t="shared" si="31"/>
        <v/>
      </c>
      <c r="AL139" s="215"/>
      <c r="AM139" s="207"/>
      <c r="AN139" s="215"/>
      <c r="AO139" s="215"/>
      <c r="AP139" s="215"/>
      <c r="AQ139" s="215"/>
    </row>
    <row r="140" spans="1:43" x14ac:dyDescent="0.2">
      <c r="A140" s="133" t="s">
        <v>44</v>
      </c>
      <c r="B140" s="133" t="s">
        <v>38</v>
      </c>
      <c r="C140" s="133" t="s">
        <v>44</v>
      </c>
      <c r="D140" s="133" t="s">
        <v>357</v>
      </c>
      <c r="E140" s="133" t="s">
        <v>357</v>
      </c>
      <c r="F140" s="135" t="str">
        <f t="shared" si="25"/>
        <v>0903090000</v>
      </c>
      <c r="G140" s="134" t="s">
        <v>464</v>
      </c>
      <c r="H140" s="11" t="str">
        <f t="shared" si="26"/>
        <v>INSTITUIÇÕES S/FINS LUCRATIVOS - R0903090000</v>
      </c>
      <c r="I140" s="169" t="str">
        <f t="shared" si="27"/>
        <v/>
      </c>
      <c r="J140" s="172"/>
      <c r="K140" s="167"/>
      <c r="L140" s="172"/>
      <c r="M140" s="172"/>
      <c r="N140" s="172"/>
      <c r="O140" s="172"/>
      <c r="P140" s="177" t="str">
        <f t="shared" si="28"/>
        <v/>
      </c>
      <c r="Q140" s="180"/>
      <c r="R140" s="175"/>
      <c r="S140" s="180"/>
      <c r="T140" s="180"/>
      <c r="U140" s="180"/>
      <c r="V140" s="180"/>
      <c r="W140" s="183" t="str">
        <f t="shared" si="29"/>
        <v/>
      </c>
      <c r="X140" s="186"/>
      <c r="Y140" s="181"/>
      <c r="Z140" s="186"/>
      <c r="AA140" s="186"/>
      <c r="AB140" s="186"/>
      <c r="AC140" s="186"/>
      <c r="AD140" s="218" t="str">
        <f t="shared" si="30"/>
        <v/>
      </c>
      <c r="AE140" s="204"/>
      <c r="AF140" s="198"/>
      <c r="AG140" s="204"/>
      <c r="AH140" s="204"/>
      <c r="AI140" s="204"/>
      <c r="AJ140" s="204"/>
      <c r="AK140" s="209" t="str">
        <f t="shared" si="31"/>
        <v/>
      </c>
      <c r="AL140" s="215"/>
      <c r="AM140" s="207"/>
      <c r="AN140" s="215"/>
      <c r="AO140" s="215"/>
      <c r="AP140" s="215"/>
      <c r="AQ140" s="215"/>
    </row>
    <row r="141" spans="1:43" x14ac:dyDescent="0.2">
      <c r="A141" s="133" t="s">
        <v>44</v>
      </c>
      <c r="B141" s="133" t="s">
        <v>38</v>
      </c>
      <c r="C141" s="133" t="s">
        <v>45</v>
      </c>
      <c r="D141" s="133" t="s">
        <v>357</v>
      </c>
      <c r="E141" s="133" t="s">
        <v>357</v>
      </c>
      <c r="F141" s="135" t="str">
        <f t="shared" si="25"/>
        <v>0903100000</v>
      </c>
      <c r="G141" s="134" t="s">
        <v>466</v>
      </c>
      <c r="H141" s="11" t="str">
        <f t="shared" si="26"/>
        <v>FAMÍLIAS - R0903100000</v>
      </c>
      <c r="I141" s="169" t="str">
        <f t="shared" si="27"/>
        <v/>
      </c>
      <c r="J141" s="172"/>
      <c r="K141" s="167"/>
      <c r="L141" s="172"/>
      <c r="M141" s="172"/>
      <c r="N141" s="172"/>
      <c r="O141" s="172"/>
      <c r="P141" s="177" t="str">
        <f t="shared" si="28"/>
        <v/>
      </c>
      <c r="Q141" s="180"/>
      <c r="R141" s="175"/>
      <c r="S141" s="180"/>
      <c r="T141" s="180"/>
      <c r="U141" s="180"/>
      <c r="V141" s="180"/>
      <c r="W141" s="183" t="str">
        <f t="shared" si="29"/>
        <v/>
      </c>
      <c r="X141" s="186"/>
      <c r="Y141" s="181"/>
      <c r="Z141" s="186"/>
      <c r="AA141" s="186"/>
      <c r="AB141" s="186"/>
      <c r="AC141" s="186"/>
      <c r="AD141" s="218" t="str">
        <f t="shared" si="30"/>
        <v/>
      </c>
      <c r="AE141" s="204"/>
      <c r="AF141" s="198"/>
      <c r="AG141" s="204"/>
      <c r="AH141" s="204"/>
      <c r="AI141" s="204"/>
      <c r="AJ141" s="204"/>
      <c r="AK141" s="209" t="str">
        <f t="shared" si="31"/>
        <v/>
      </c>
      <c r="AL141" s="215"/>
      <c r="AM141" s="207"/>
      <c r="AN141" s="215"/>
      <c r="AO141" s="215"/>
      <c r="AP141" s="215"/>
      <c r="AQ141" s="215"/>
    </row>
    <row r="142" spans="1:43" x14ac:dyDescent="0.2">
      <c r="A142" s="133" t="s">
        <v>44</v>
      </c>
      <c r="B142" s="133" t="s">
        <v>38</v>
      </c>
      <c r="C142" s="133" t="s">
        <v>288</v>
      </c>
      <c r="D142" s="133" t="s">
        <v>357</v>
      </c>
      <c r="E142" s="133" t="s">
        <v>357</v>
      </c>
      <c r="F142" s="135" t="str">
        <f t="shared" si="25"/>
        <v>0903110000</v>
      </c>
      <c r="G142" s="134" t="s">
        <v>469</v>
      </c>
      <c r="H142" s="11" t="str">
        <f t="shared" si="26"/>
        <v>RESTO DO MUNDO - UNIÃO EUROPEIA - R0903110000</v>
      </c>
      <c r="I142" s="169" t="str">
        <f t="shared" si="27"/>
        <v/>
      </c>
      <c r="J142" s="172"/>
      <c r="K142" s="167"/>
      <c r="L142" s="172"/>
      <c r="M142" s="172"/>
      <c r="N142" s="172"/>
      <c r="O142" s="172"/>
      <c r="P142" s="177" t="str">
        <f t="shared" si="28"/>
        <v/>
      </c>
      <c r="Q142" s="180"/>
      <c r="R142" s="175"/>
      <c r="S142" s="180"/>
      <c r="T142" s="180"/>
      <c r="U142" s="180"/>
      <c r="V142" s="180"/>
      <c r="W142" s="183" t="str">
        <f t="shared" si="29"/>
        <v/>
      </c>
      <c r="X142" s="186"/>
      <c r="Y142" s="181"/>
      <c r="Z142" s="186"/>
      <c r="AA142" s="186"/>
      <c r="AB142" s="186"/>
      <c r="AC142" s="186"/>
      <c r="AD142" s="218" t="str">
        <f t="shared" si="30"/>
        <v/>
      </c>
      <c r="AE142" s="204"/>
      <c r="AF142" s="198"/>
      <c r="AG142" s="204"/>
      <c r="AH142" s="204"/>
      <c r="AI142" s="204"/>
      <c r="AJ142" s="204"/>
      <c r="AK142" s="209" t="str">
        <f t="shared" si="31"/>
        <v/>
      </c>
      <c r="AL142" s="215"/>
      <c r="AM142" s="207"/>
      <c r="AN142" s="215"/>
      <c r="AO142" s="215"/>
      <c r="AP142" s="215"/>
      <c r="AQ142" s="215"/>
    </row>
    <row r="143" spans="1:43" x14ac:dyDescent="0.2">
      <c r="A143" s="133" t="s">
        <v>44</v>
      </c>
      <c r="B143" s="133" t="s">
        <v>38</v>
      </c>
      <c r="C143" s="133" t="s">
        <v>290</v>
      </c>
      <c r="D143" s="133" t="s">
        <v>357</v>
      </c>
      <c r="E143" s="133" t="s">
        <v>357</v>
      </c>
      <c r="F143" s="135" t="str">
        <f t="shared" si="25"/>
        <v>0903120000</v>
      </c>
      <c r="G143" s="134" t="s">
        <v>475</v>
      </c>
      <c r="H143" s="11" t="str">
        <f t="shared" si="26"/>
        <v>RESTO DO MUNDO - PAÍSES TERCEIROS E ORGANIZAÇÕES INTERNACIONAIS - R0903120000</v>
      </c>
      <c r="I143" s="169" t="str">
        <f t="shared" si="27"/>
        <v/>
      </c>
      <c r="J143" s="172"/>
      <c r="K143" s="167"/>
      <c r="L143" s="172"/>
      <c r="M143" s="172"/>
      <c r="N143" s="172"/>
      <c r="O143" s="172"/>
      <c r="P143" s="177" t="str">
        <f t="shared" si="28"/>
        <v/>
      </c>
      <c r="Q143" s="180"/>
      <c r="R143" s="175"/>
      <c r="S143" s="180"/>
      <c r="T143" s="180"/>
      <c r="U143" s="180"/>
      <c r="V143" s="180"/>
      <c r="W143" s="183" t="str">
        <f t="shared" si="29"/>
        <v/>
      </c>
      <c r="X143" s="186"/>
      <c r="Y143" s="181"/>
      <c r="Z143" s="186"/>
      <c r="AA143" s="186"/>
      <c r="AB143" s="186"/>
      <c r="AC143" s="186"/>
      <c r="AD143" s="218" t="str">
        <f t="shared" si="30"/>
        <v/>
      </c>
      <c r="AE143" s="204"/>
      <c r="AF143" s="198"/>
      <c r="AG143" s="204"/>
      <c r="AH143" s="204"/>
      <c r="AI143" s="204"/>
      <c r="AJ143" s="204"/>
      <c r="AK143" s="209" t="str">
        <f t="shared" si="31"/>
        <v/>
      </c>
      <c r="AL143" s="215"/>
      <c r="AM143" s="207"/>
      <c r="AN143" s="215"/>
      <c r="AO143" s="215"/>
      <c r="AP143" s="215"/>
      <c r="AQ143" s="215"/>
    </row>
    <row r="144" spans="1:43" x14ac:dyDescent="0.2">
      <c r="A144" s="133" t="s">
        <v>44</v>
      </c>
      <c r="B144" s="133" t="s">
        <v>39</v>
      </c>
      <c r="C144" s="133" t="s">
        <v>36</v>
      </c>
      <c r="D144" s="133" t="s">
        <v>357</v>
      </c>
      <c r="E144" s="133" t="s">
        <v>357</v>
      </c>
      <c r="F144" s="135" t="str">
        <f t="shared" si="25"/>
        <v>0904010000</v>
      </c>
      <c r="G144" s="134" t="s">
        <v>471</v>
      </c>
      <c r="H144" s="11" t="str">
        <f t="shared" si="26"/>
        <v>SOCIEDADES E QUASE SOC. NÃO FINANCEIRAS - R0904010000</v>
      </c>
      <c r="I144" s="169" t="str">
        <f t="shared" si="27"/>
        <v/>
      </c>
      <c r="J144" s="172"/>
      <c r="K144" s="167"/>
      <c r="L144" s="172"/>
      <c r="M144" s="172"/>
      <c r="N144" s="172"/>
      <c r="O144" s="172"/>
      <c r="P144" s="177" t="str">
        <f t="shared" si="28"/>
        <v/>
      </c>
      <c r="Q144" s="180"/>
      <c r="R144" s="175"/>
      <c r="S144" s="180"/>
      <c r="T144" s="180"/>
      <c r="U144" s="180"/>
      <c r="V144" s="180"/>
      <c r="W144" s="183" t="str">
        <f t="shared" si="29"/>
        <v/>
      </c>
      <c r="X144" s="186"/>
      <c r="Y144" s="181"/>
      <c r="Z144" s="186"/>
      <c r="AA144" s="186"/>
      <c r="AB144" s="186"/>
      <c r="AC144" s="186"/>
      <c r="AD144" s="218" t="str">
        <f t="shared" si="30"/>
        <v/>
      </c>
      <c r="AE144" s="204"/>
      <c r="AF144" s="198"/>
      <c r="AG144" s="204"/>
      <c r="AH144" s="204"/>
      <c r="AI144" s="204"/>
      <c r="AJ144" s="204"/>
      <c r="AK144" s="209" t="str">
        <f t="shared" si="31"/>
        <v/>
      </c>
      <c r="AL144" s="215"/>
      <c r="AM144" s="207"/>
      <c r="AN144" s="215"/>
      <c r="AO144" s="215"/>
      <c r="AP144" s="215"/>
      <c r="AQ144" s="215"/>
    </row>
    <row r="145" spans="1:43" x14ac:dyDescent="0.2">
      <c r="A145" s="133" t="s">
        <v>44</v>
      </c>
      <c r="B145" s="133" t="s">
        <v>39</v>
      </c>
      <c r="C145" s="133" t="s">
        <v>37</v>
      </c>
      <c r="D145" s="133" t="s">
        <v>357</v>
      </c>
      <c r="E145" s="133" t="s">
        <v>357</v>
      </c>
      <c r="F145" s="135" t="str">
        <f t="shared" si="25"/>
        <v>0904020000</v>
      </c>
      <c r="G145" s="134" t="s">
        <v>470</v>
      </c>
      <c r="H145" s="11" t="str">
        <f t="shared" si="26"/>
        <v>SOCIEDADES FINANCEIRAS - R0904020000</v>
      </c>
      <c r="I145" s="169" t="str">
        <f t="shared" si="27"/>
        <v/>
      </c>
      <c r="J145" s="172"/>
      <c r="K145" s="167"/>
      <c r="L145" s="172"/>
      <c r="M145" s="172"/>
      <c r="N145" s="172"/>
      <c r="O145" s="172"/>
      <c r="P145" s="177" t="str">
        <f t="shared" si="28"/>
        <v/>
      </c>
      <c r="Q145" s="180"/>
      <c r="R145" s="175"/>
      <c r="S145" s="180"/>
      <c r="T145" s="180"/>
      <c r="U145" s="180"/>
      <c r="V145" s="180"/>
      <c r="W145" s="183" t="str">
        <f t="shared" si="29"/>
        <v/>
      </c>
      <c r="X145" s="186"/>
      <c r="Y145" s="181"/>
      <c r="Z145" s="186"/>
      <c r="AA145" s="186"/>
      <c r="AB145" s="186"/>
      <c r="AC145" s="186"/>
      <c r="AD145" s="218" t="str">
        <f t="shared" si="30"/>
        <v/>
      </c>
      <c r="AE145" s="204"/>
      <c r="AF145" s="198"/>
      <c r="AG145" s="204"/>
      <c r="AH145" s="204"/>
      <c r="AI145" s="204"/>
      <c r="AJ145" s="204"/>
      <c r="AK145" s="209" t="str">
        <f t="shared" si="31"/>
        <v/>
      </c>
      <c r="AL145" s="215"/>
      <c r="AM145" s="207"/>
      <c r="AN145" s="215"/>
      <c r="AO145" s="215"/>
      <c r="AP145" s="215"/>
      <c r="AQ145" s="215"/>
    </row>
    <row r="146" spans="1:43" x14ac:dyDescent="0.2">
      <c r="A146" s="133" t="s">
        <v>44</v>
      </c>
      <c r="B146" s="133" t="s">
        <v>39</v>
      </c>
      <c r="C146" s="133" t="s">
        <v>38</v>
      </c>
      <c r="D146" s="133" t="s">
        <v>357</v>
      </c>
      <c r="E146" s="133" t="s">
        <v>357</v>
      </c>
      <c r="F146" s="135" t="str">
        <f t="shared" si="25"/>
        <v>0904030000</v>
      </c>
      <c r="G146" s="134" t="s">
        <v>467</v>
      </c>
      <c r="H146" s="11" t="str">
        <f t="shared" si="26"/>
        <v>ADM. PUBLICAS - ADM. CENTRAL - ESTADO - R0904030000</v>
      </c>
      <c r="I146" s="169" t="str">
        <f t="shared" si="27"/>
        <v/>
      </c>
      <c r="J146" s="172"/>
      <c r="K146" s="167"/>
      <c r="L146" s="172"/>
      <c r="M146" s="172"/>
      <c r="N146" s="172"/>
      <c r="O146" s="172"/>
      <c r="P146" s="177" t="str">
        <f t="shared" si="28"/>
        <v/>
      </c>
      <c r="Q146" s="180"/>
      <c r="R146" s="175"/>
      <c r="S146" s="180"/>
      <c r="T146" s="180"/>
      <c r="U146" s="180"/>
      <c r="V146" s="180"/>
      <c r="W146" s="183" t="str">
        <f t="shared" si="29"/>
        <v/>
      </c>
      <c r="X146" s="186"/>
      <c r="Y146" s="181"/>
      <c r="Z146" s="186"/>
      <c r="AA146" s="186"/>
      <c r="AB146" s="186"/>
      <c r="AC146" s="186"/>
      <c r="AD146" s="218" t="str">
        <f t="shared" si="30"/>
        <v/>
      </c>
      <c r="AE146" s="204"/>
      <c r="AF146" s="198"/>
      <c r="AG146" s="204"/>
      <c r="AH146" s="204"/>
      <c r="AI146" s="204"/>
      <c r="AJ146" s="204"/>
      <c r="AK146" s="209" t="str">
        <f t="shared" si="31"/>
        <v/>
      </c>
      <c r="AL146" s="215"/>
      <c r="AM146" s="207"/>
      <c r="AN146" s="215"/>
      <c r="AO146" s="215"/>
      <c r="AP146" s="215"/>
      <c r="AQ146" s="215"/>
    </row>
    <row r="147" spans="1:43" x14ac:dyDescent="0.2">
      <c r="A147" s="133" t="s">
        <v>44</v>
      </c>
      <c r="B147" s="133" t="s">
        <v>39</v>
      </c>
      <c r="C147" s="133" t="s">
        <v>39</v>
      </c>
      <c r="D147" s="133" t="s">
        <v>357</v>
      </c>
      <c r="E147" s="133" t="s">
        <v>357</v>
      </c>
      <c r="F147" s="135" t="str">
        <f t="shared" si="25"/>
        <v>0904040000</v>
      </c>
      <c r="G147" s="134" t="s">
        <v>472</v>
      </c>
      <c r="H147" s="11" t="str">
        <f t="shared" si="26"/>
        <v>ADM. PUBLICAS - ADM. CENTRAL - SFA - R0904040000</v>
      </c>
      <c r="I147" s="169" t="str">
        <f t="shared" si="27"/>
        <v/>
      </c>
      <c r="J147" s="172"/>
      <c r="K147" s="167"/>
      <c r="L147" s="172"/>
      <c r="M147" s="172"/>
      <c r="N147" s="172"/>
      <c r="O147" s="172"/>
      <c r="P147" s="177" t="str">
        <f t="shared" si="28"/>
        <v/>
      </c>
      <c r="Q147" s="180"/>
      <c r="R147" s="175"/>
      <c r="S147" s="180"/>
      <c r="T147" s="180"/>
      <c r="U147" s="180"/>
      <c r="V147" s="180"/>
      <c r="W147" s="183" t="str">
        <f t="shared" si="29"/>
        <v/>
      </c>
      <c r="X147" s="186"/>
      <c r="Y147" s="181"/>
      <c r="Z147" s="186"/>
      <c r="AA147" s="186"/>
      <c r="AB147" s="186"/>
      <c r="AC147" s="186"/>
      <c r="AD147" s="218" t="str">
        <f t="shared" si="30"/>
        <v/>
      </c>
      <c r="AE147" s="204"/>
      <c r="AF147" s="198"/>
      <c r="AG147" s="204"/>
      <c r="AH147" s="204"/>
      <c r="AI147" s="204"/>
      <c r="AJ147" s="204"/>
      <c r="AK147" s="209" t="str">
        <f t="shared" si="31"/>
        <v/>
      </c>
      <c r="AL147" s="215"/>
      <c r="AM147" s="207"/>
      <c r="AN147" s="215"/>
      <c r="AO147" s="215"/>
      <c r="AP147" s="215"/>
      <c r="AQ147" s="215"/>
    </row>
    <row r="148" spans="1:43" x14ac:dyDescent="0.2">
      <c r="A148" s="133" t="s">
        <v>44</v>
      </c>
      <c r="B148" s="133" t="s">
        <v>39</v>
      </c>
      <c r="C148" s="133" t="s">
        <v>40</v>
      </c>
      <c r="D148" s="133" t="s">
        <v>357</v>
      </c>
      <c r="E148" s="133" t="s">
        <v>357</v>
      </c>
      <c r="F148" s="135" t="str">
        <f t="shared" si="25"/>
        <v>0904050000</v>
      </c>
      <c r="G148" s="134" t="s">
        <v>465</v>
      </c>
      <c r="H148" s="11" t="str">
        <f t="shared" si="26"/>
        <v>ADM. PUBLICAS - ADM. REGIONAL - R0904050000</v>
      </c>
      <c r="I148" s="169" t="str">
        <f t="shared" si="27"/>
        <v/>
      </c>
      <c r="J148" s="172"/>
      <c r="K148" s="167"/>
      <c r="L148" s="172"/>
      <c r="M148" s="172"/>
      <c r="N148" s="172"/>
      <c r="O148" s="172"/>
      <c r="P148" s="177" t="str">
        <f t="shared" si="28"/>
        <v/>
      </c>
      <c r="Q148" s="180"/>
      <c r="R148" s="175"/>
      <c r="S148" s="180"/>
      <c r="T148" s="180"/>
      <c r="U148" s="180"/>
      <c r="V148" s="180"/>
      <c r="W148" s="183" t="str">
        <f t="shared" si="29"/>
        <v/>
      </c>
      <c r="X148" s="186"/>
      <c r="Y148" s="181"/>
      <c r="Z148" s="186"/>
      <c r="AA148" s="186"/>
      <c r="AB148" s="186"/>
      <c r="AC148" s="186"/>
      <c r="AD148" s="218" t="str">
        <f t="shared" si="30"/>
        <v/>
      </c>
      <c r="AE148" s="204"/>
      <c r="AF148" s="198"/>
      <c r="AG148" s="204"/>
      <c r="AH148" s="204"/>
      <c r="AI148" s="204"/>
      <c r="AJ148" s="204"/>
      <c r="AK148" s="209" t="str">
        <f t="shared" si="31"/>
        <v/>
      </c>
      <c r="AL148" s="215"/>
      <c r="AM148" s="207"/>
      <c r="AN148" s="215"/>
      <c r="AO148" s="215"/>
      <c r="AP148" s="215"/>
      <c r="AQ148" s="215"/>
    </row>
    <row r="149" spans="1:43" x14ac:dyDescent="0.2">
      <c r="A149" s="133" t="s">
        <v>44</v>
      </c>
      <c r="B149" s="133" t="s">
        <v>39</v>
      </c>
      <c r="C149" s="133" t="s">
        <v>41</v>
      </c>
      <c r="D149" s="133" t="s">
        <v>357</v>
      </c>
      <c r="E149" s="133" t="s">
        <v>357</v>
      </c>
      <c r="F149" s="135" t="str">
        <f t="shared" si="25"/>
        <v>0904060000</v>
      </c>
      <c r="G149" s="134" t="s">
        <v>474</v>
      </c>
      <c r="H149" s="11" t="str">
        <f t="shared" si="26"/>
        <v>ADM. PUBLICAS - ADM. LOCAL - CONTINENTE - R0904060000</v>
      </c>
      <c r="I149" s="169" t="str">
        <f t="shared" si="27"/>
        <v/>
      </c>
      <c r="J149" s="172"/>
      <c r="K149" s="167"/>
      <c r="L149" s="172"/>
      <c r="M149" s="172"/>
      <c r="N149" s="172"/>
      <c r="O149" s="172"/>
      <c r="P149" s="177" t="str">
        <f t="shared" si="28"/>
        <v/>
      </c>
      <c r="Q149" s="180"/>
      <c r="R149" s="175"/>
      <c r="S149" s="180"/>
      <c r="T149" s="180"/>
      <c r="U149" s="180"/>
      <c r="V149" s="180"/>
      <c r="W149" s="183" t="str">
        <f t="shared" si="29"/>
        <v/>
      </c>
      <c r="X149" s="186"/>
      <c r="Y149" s="181"/>
      <c r="Z149" s="186"/>
      <c r="AA149" s="186"/>
      <c r="AB149" s="186"/>
      <c r="AC149" s="186"/>
      <c r="AD149" s="218" t="str">
        <f t="shared" si="30"/>
        <v/>
      </c>
      <c r="AE149" s="204"/>
      <c r="AF149" s="198"/>
      <c r="AG149" s="204"/>
      <c r="AH149" s="204"/>
      <c r="AI149" s="204"/>
      <c r="AJ149" s="204"/>
      <c r="AK149" s="209" t="str">
        <f t="shared" si="31"/>
        <v/>
      </c>
      <c r="AL149" s="215"/>
      <c r="AM149" s="207"/>
      <c r="AN149" s="215"/>
      <c r="AO149" s="215"/>
      <c r="AP149" s="215"/>
      <c r="AQ149" s="215"/>
    </row>
    <row r="150" spans="1:43" x14ac:dyDescent="0.2">
      <c r="A150" s="133" t="s">
        <v>44</v>
      </c>
      <c r="B150" s="133" t="s">
        <v>39</v>
      </c>
      <c r="C150" s="133" t="s">
        <v>42</v>
      </c>
      <c r="D150" s="133" t="s">
        <v>357</v>
      </c>
      <c r="E150" s="133" t="s">
        <v>357</v>
      </c>
      <c r="F150" s="135" t="str">
        <f t="shared" si="25"/>
        <v>0904070000</v>
      </c>
      <c r="G150" s="134" t="s">
        <v>468</v>
      </c>
      <c r="H150" s="11" t="str">
        <f t="shared" si="26"/>
        <v>ADM. PUBLICAS - ADM. LOCAL - REGIÕES AUTÓNOMAS - R0904070000</v>
      </c>
      <c r="I150" s="169" t="str">
        <f t="shared" si="27"/>
        <v/>
      </c>
      <c r="J150" s="172"/>
      <c r="K150" s="167"/>
      <c r="L150" s="172"/>
      <c r="M150" s="172"/>
      <c r="N150" s="172"/>
      <c r="O150" s="172"/>
      <c r="P150" s="177" t="str">
        <f t="shared" si="28"/>
        <v/>
      </c>
      <c r="Q150" s="180"/>
      <c r="R150" s="175"/>
      <c r="S150" s="180"/>
      <c r="T150" s="180"/>
      <c r="U150" s="180"/>
      <c r="V150" s="180"/>
      <c r="W150" s="183" t="str">
        <f t="shared" si="29"/>
        <v/>
      </c>
      <c r="X150" s="186"/>
      <c r="Y150" s="181"/>
      <c r="Z150" s="186"/>
      <c r="AA150" s="186"/>
      <c r="AB150" s="186"/>
      <c r="AC150" s="186"/>
      <c r="AD150" s="218" t="str">
        <f t="shared" si="30"/>
        <v/>
      </c>
      <c r="AE150" s="204"/>
      <c r="AF150" s="198"/>
      <c r="AG150" s="204"/>
      <c r="AH150" s="204"/>
      <c r="AI150" s="204"/>
      <c r="AJ150" s="204"/>
      <c r="AK150" s="209" t="str">
        <f t="shared" si="31"/>
        <v/>
      </c>
      <c r="AL150" s="215"/>
      <c r="AM150" s="207"/>
      <c r="AN150" s="215"/>
      <c r="AO150" s="215"/>
      <c r="AP150" s="215"/>
      <c r="AQ150" s="215"/>
    </row>
    <row r="151" spans="1:43" x14ac:dyDescent="0.2">
      <c r="A151" s="133" t="s">
        <v>44</v>
      </c>
      <c r="B151" s="133" t="s">
        <v>39</v>
      </c>
      <c r="C151" s="133" t="s">
        <v>43</v>
      </c>
      <c r="D151" s="133" t="s">
        <v>357</v>
      </c>
      <c r="E151" s="133" t="s">
        <v>357</v>
      </c>
      <c r="F151" s="135" t="str">
        <f t="shared" si="25"/>
        <v>0904080000</v>
      </c>
      <c r="G151" s="134" t="s">
        <v>473</v>
      </c>
      <c r="H151" s="11" t="str">
        <f t="shared" si="26"/>
        <v>ADM. PUBLICAS - SEGURANÇA SOCIAL - R0904080000</v>
      </c>
      <c r="I151" s="169" t="str">
        <f t="shared" si="27"/>
        <v/>
      </c>
      <c r="J151" s="172"/>
      <c r="K151" s="167"/>
      <c r="L151" s="172"/>
      <c r="M151" s="172"/>
      <c r="N151" s="172"/>
      <c r="O151" s="172"/>
      <c r="P151" s="177" t="str">
        <f t="shared" si="28"/>
        <v/>
      </c>
      <c r="Q151" s="180"/>
      <c r="R151" s="175"/>
      <c r="S151" s="180"/>
      <c r="T151" s="180"/>
      <c r="U151" s="180"/>
      <c r="V151" s="180"/>
      <c r="W151" s="183" t="str">
        <f t="shared" si="29"/>
        <v/>
      </c>
      <c r="X151" s="186"/>
      <c r="Y151" s="181"/>
      <c r="Z151" s="186"/>
      <c r="AA151" s="186"/>
      <c r="AB151" s="186"/>
      <c r="AC151" s="186"/>
      <c r="AD151" s="218" t="str">
        <f t="shared" si="30"/>
        <v/>
      </c>
      <c r="AE151" s="204"/>
      <c r="AF151" s="198"/>
      <c r="AG151" s="204"/>
      <c r="AH151" s="204"/>
      <c r="AI151" s="204"/>
      <c r="AJ151" s="204"/>
      <c r="AK151" s="209" t="str">
        <f t="shared" si="31"/>
        <v/>
      </c>
      <c r="AL151" s="215"/>
      <c r="AM151" s="207"/>
      <c r="AN151" s="215"/>
      <c r="AO151" s="215"/>
      <c r="AP151" s="215"/>
      <c r="AQ151" s="215"/>
    </row>
    <row r="152" spans="1:43" x14ac:dyDescent="0.2">
      <c r="A152" s="133" t="s">
        <v>44</v>
      </c>
      <c r="B152" s="133" t="s">
        <v>39</v>
      </c>
      <c r="C152" s="133" t="s">
        <v>44</v>
      </c>
      <c r="D152" s="133" t="s">
        <v>357</v>
      </c>
      <c r="E152" s="133" t="s">
        <v>357</v>
      </c>
      <c r="F152" s="135" t="str">
        <f t="shared" si="25"/>
        <v>0904090000</v>
      </c>
      <c r="G152" s="134" t="s">
        <v>464</v>
      </c>
      <c r="H152" s="11" t="str">
        <f t="shared" si="26"/>
        <v>INSTITUIÇÕES S/FINS LUCRATIVOS - R0904090000</v>
      </c>
      <c r="I152" s="169" t="str">
        <f t="shared" si="27"/>
        <v/>
      </c>
      <c r="J152" s="172"/>
      <c r="K152" s="167"/>
      <c r="L152" s="172"/>
      <c r="M152" s="172"/>
      <c r="N152" s="172"/>
      <c r="O152" s="172"/>
      <c r="P152" s="177" t="str">
        <f t="shared" si="28"/>
        <v/>
      </c>
      <c r="Q152" s="180"/>
      <c r="R152" s="175"/>
      <c r="S152" s="180"/>
      <c r="T152" s="180"/>
      <c r="U152" s="180"/>
      <c r="V152" s="180"/>
      <c r="W152" s="183" t="str">
        <f t="shared" si="29"/>
        <v/>
      </c>
      <c r="X152" s="186"/>
      <c r="Y152" s="181"/>
      <c r="Z152" s="186"/>
      <c r="AA152" s="186"/>
      <c r="AB152" s="186"/>
      <c r="AC152" s="186"/>
      <c r="AD152" s="218" t="str">
        <f t="shared" si="30"/>
        <v/>
      </c>
      <c r="AE152" s="204"/>
      <c r="AF152" s="198"/>
      <c r="AG152" s="204"/>
      <c r="AH152" s="204"/>
      <c r="AI152" s="204"/>
      <c r="AJ152" s="204"/>
      <c r="AK152" s="209" t="str">
        <f t="shared" si="31"/>
        <v/>
      </c>
      <c r="AL152" s="215"/>
      <c r="AM152" s="207"/>
      <c r="AN152" s="215"/>
      <c r="AO152" s="215"/>
      <c r="AP152" s="215"/>
      <c r="AQ152" s="215"/>
    </row>
    <row r="153" spans="1:43" x14ac:dyDescent="0.2">
      <c r="A153" s="133" t="s">
        <v>44</v>
      </c>
      <c r="B153" s="133" t="s">
        <v>39</v>
      </c>
      <c r="C153" s="133" t="s">
        <v>45</v>
      </c>
      <c r="D153" s="133" t="s">
        <v>357</v>
      </c>
      <c r="E153" s="133" t="s">
        <v>357</v>
      </c>
      <c r="F153" s="135" t="str">
        <f t="shared" si="25"/>
        <v>0904100000</v>
      </c>
      <c r="G153" s="134" t="s">
        <v>466</v>
      </c>
      <c r="H153" s="11" t="str">
        <f t="shared" si="26"/>
        <v>FAMÍLIAS - R0904100000</v>
      </c>
      <c r="I153" s="169" t="str">
        <f t="shared" si="27"/>
        <v/>
      </c>
      <c r="J153" s="172"/>
      <c r="K153" s="167"/>
      <c r="L153" s="172"/>
      <c r="M153" s="172"/>
      <c r="N153" s="172"/>
      <c r="O153" s="172"/>
      <c r="P153" s="177" t="str">
        <f t="shared" si="28"/>
        <v/>
      </c>
      <c r="Q153" s="180"/>
      <c r="R153" s="175"/>
      <c r="S153" s="180"/>
      <c r="T153" s="180"/>
      <c r="U153" s="180"/>
      <c r="V153" s="180"/>
      <c r="W153" s="183" t="str">
        <f t="shared" si="29"/>
        <v/>
      </c>
      <c r="X153" s="186"/>
      <c r="Y153" s="181"/>
      <c r="Z153" s="186"/>
      <c r="AA153" s="186"/>
      <c r="AB153" s="186"/>
      <c r="AC153" s="186"/>
      <c r="AD153" s="218" t="str">
        <f t="shared" si="30"/>
        <v/>
      </c>
      <c r="AE153" s="204"/>
      <c r="AF153" s="198"/>
      <c r="AG153" s="204"/>
      <c r="AH153" s="204"/>
      <c r="AI153" s="204"/>
      <c r="AJ153" s="204"/>
      <c r="AK153" s="209" t="str">
        <f t="shared" si="31"/>
        <v/>
      </c>
      <c r="AL153" s="215"/>
      <c r="AM153" s="207"/>
      <c r="AN153" s="215"/>
      <c r="AO153" s="215"/>
      <c r="AP153" s="215"/>
      <c r="AQ153" s="215"/>
    </row>
    <row r="154" spans="1:43" x14ac:dyDescent="0.2">
      <c r="A154" s="133" t="s">
        <v>44</v>
      </c>
      <c r="B154" s="133" t="s">
        <v>39</v>
      </c>
      <c r="C154" s="133" t="s">
        <v>288</v>
      </c>
      <c r="D154" s="133" t="s">
        <v>357</v>
      </c>
      <c r="E154" s="133" t="s">
        <v>357</v>
      </c>
      <c r="F154" s="135" t="str">
        <f t="shared" si="25"/>
        <v>0904110000</v>
      </c>
      <c r="G154" s="134" t="s">
        <v>469</v>
      </c>
      <c r="H154" s="11" t="str">
        <f t="shared" si="26"/>
        <v>RESTO DO MUNDO - UNIÃO EUROPEIA - R0904110000</v>
      </c>
      <c r="I154" s="169" t="str">
        <f t="shared" si="27"/>
        <v/>
      </c>
      <c r="J154" s="172"/>
      <c r="K154" s="167"/>
      <c r="L154" s="172"/>
      <c r="M154" s="172"/>
      <c r="N154" s="172"/>
      <c r="O154" s="172"/>
      <c r="P154" s="177" t="str">
        <f t="shared" si="28"/>
        <v/>
      </c>
      <c r="Q154" s="180"/>
      <c r="R154" s="175"/>
      <c r="S154" s="180"/>
      <c r="T154" s="180"/>
      <c r="U154" s="180"/>
      <c r="V154" s="180"/>
      <c r="W154" s="183" t="str">
        <f t="shared" si="29"/>
        <v/>
      </c>
      <c r="X154" s="186"/>
      <c r="Y154" s="181"/>
      <c r="Z154" s="186"/>
      <c r="AA154" s="186"/>
      <c r="AB154" s="186"/>
      <c r="AC154" s="186"/>
      <c r="AD154" s="218" t="str">
        <f t="shared" si="30"/>
        <v/>
      </c>
      <c r="AE154" s="204"/>
      <c r="AF154" s="198"/>
      <c r="AG154" s="204"/>
      <c r="AH154" s="204"/>
      <c r="AI154" s="204"/>
      <c r="AJ154" s="204"/>
      <c r="AK154" s="209" t="str">
        <f t="shared" si="31"/>
        <v/>
      </c>
      <c r="AL154" s="215"/>
      <c r="AM154" s="207"/>
      <c r="AN154" s="215"/>
      <c r="AO154" s="215"/>
      <c r="AP154" s="215"/>
      <c r="AQ154" s="215"/>
    </row>
    <row r="155" spans="1:43" x14ac:dyDescent="0.2">
      <c r="A155" s="133" t="s">
        <v>44</v>
      </c>
      <c r="B155" s="133" t="s">
        <v>39</v>
      </c>
      <c r="C155" s="133" t="s">
        <v>290</v>
      </c>
      <c r="D155" s="133" t="s">
        <v>357</v>
      </c>
      <c r="E155" s="133" t="s">
        <v>357</v>
      </c>
      <c r="F155" s="135" t="str">
        <f t="shared" si="25"/>
        <v>0904120000</v>
      </c>
      <c r="G155" s="134" t="s">
        <v>475</v>
      </c>
      <c r="H155" s="11" t="str">
        <f t="shared" si="26"/>
        <v>RESTO DO MUNDO - PAÍSES TERCEIROS E ORGANIZAÇÕES INTERNACIONAIS - R0904120000</v>
      </c>
      <c r="I155" s="169" t="str">
        <f t="shared" si="27"/>
        <v/>
      </c>
      <c r="J155" s="172"/>
      <c r="K155" s="167"/>
      <c r="L155" s="172"/>
      <c r="M155" s="172"/>
      <c r="N155" s="172"/>
      <c r="O155" s="172"/>
      <c r="P155" s="177" t="str">
        <f t="shared" si="28"/>
        <v/>
      </c>
      <c r="Q155" s="180"/>
      <c r="R155" s="175"/>
      <c r="S155" s="180"/>
      <c r="T155" s="180"/>
      <c r="U155" s="180"/>
      <c r="V155" s="180"/>
      <c r="W155" s="183" t="str">
        <f t="shared" si="29"/>
        <v/>
      </c>
      <c r="X155" s="186"/>
      <c r="Y155" s="181"/>
      <c r="Z155" s="186"/>
      <c r="AA155" s="186"/>
      <c r="AB155" s="186"/>
      <c r="AC155" s="186"/>
      <c r="AD155" s="218" t="str">
        <f t="shared" si="30"/>
        <v/>
      </c>
      <c r="AE155" s="204"/>
      <c r="AF155" s="198"/>
      <c r="AG155" s="204"/>
      <c r="AH155" s="204"/>
      <c r="AI155" s="204"/>
      <c r="AJ155" s="204"/>
      <c r="AK155" s="209" t="str">
        <f t="shared" si="31"/>
        <v/>
      </c>
      <c r="AL155" s="215"/>
      <c r="AM155" s="207"/>
      <c r="AN155" s="215"/>
      <c r="AO155" s="215"/>
      <c r="AP155" s="215"/>
      <c r="AQ155" s="215"/>
    </row>
    <row r="156" spans="1:43" x14ac:dyDescent="0.2">
      <c r="A156" s="133" t="s">
        <v>45</v>
      </c>
      <c r="B156" s="133" t="s">
        <v>36</v>
      </c>
      <c r="C156" s="133" t="s">
        <v>36</v>
      </c>
      <c r="D156" s="133" t="s">
        <v>357</v>
      </c>
      <c r="E156" s="133" t="s">
        <v>357</v>
      </c>
      <c r="F156" s="135" t="str">
        <f t="shared" si="25"/>
        <v>1001010000</v>
      </c>
      <c r="G156" s="134" t="s">
        <v>423</v>
      </c>
      <c r="H156" s="11" t="str">
        <f t="shared" si="26"/>
        <v>PUBLICAS - R1001010000</v>
      </c>
      <c r="I156" s="169" t="str">
        <f t="shared" si="27"/>
        <v/>
      </c>
      <c r="J156" s="172"/>
      <c r="K156" s="167"/>
      <c r="L156" s="172"/>
      <c r="M156" s="172"/>
      <c r="N156" s="172"/>
      <c r="O156" s="172"/>
      <c r="P156" s="177" t="str">
        <f t="shared" si="28"/>
        <v/>
      </c>
      <c r="Q156" s="180"/>
      <c r="R156" s="175"/>
      <c r="S156" s="180"/>
      <c r="T156" s="180"/>
      <c r="U156" s="180"/>
      <c r="V156" s="180"/>
      <c r="W156" s="183" t="str">
        <f t="shared" si="29"/>
        <v/>
      </c>
      <c r="X156" s="186"/>
      <c r="Y156" s="181"/>
      <c r="Z156" s="186"/>
      <c r="AA156" s="186"/>
      <c r="AB156" s="186"/>
      <c r="AC156" s="186"/>
      <c r="AD156" s="218" t="str">
        <f t="shared" si="30"/>
        <v/>
      </c>
      <c r="AE156" s="204"/>
      <c r="AF156" s="198"/>
      <c r="AG156" s="204"/>
      <c r="AH156" s="204"/>
      <c r="AI156" s="204"/>
      <c r="AJ156" s="204"/>
      <c r="AK156" s="209" t="str">
        <f t="shared" si="31"/>
        <v/>
      </c>
      <c r="AL156" s="215"/>
      <c r="AM156" s="207"/>
      <c r="AN156" s="215"/>
      <c r="AO156" s="215"/>
      <c r="AP156" s="215"/>
      <c r="AQ156" s="215"/>
    </row>
    <row r="157" spans="1:43" x14ac:dyDescent="0.2">
      <c r="A157" s="133" t="s">
        <v>45</v>
      </c>
      <c r="B157" s="133" t="s">
        <v>36</v>
      </c>
      <c r="C157" s="133" t="s">
        <v>37</v>
      </c>
      <c r="D157" s="133" t="s">
        <v>357</v>
      </c>
      <c r="E157" s="133" t="s">
        <v>357</v>
      </c>
      <c r="F157" s="135" t="str">
        <f t="shared" si="25"/>
        <v>1001020000</v>
      </c>
      <c r="G157" s="134" t="s">
        <v>420</v>
      </c>
      <c r="H157" s="11" t="str">
        <f t="shared" si="26"/>
        <v>PRIVADAS - R1001020000</v>
      </c>
      <c r="I157" s="169" t="str">
        <f t="shared" si="27"/>
        <v/>
      </c>
      <c r="J157" s="172"/>
      <c r="K157" s="167"/>
      <c r="L157" s="172"/>
      <c r="M157" s="172"/>
      <c r="N157" s="172"/>
      <c r="O157" s="172"/>
      <c r="P157" s="177" t="str">
        <f t="shared" si="28"/>
        <v/>
      </c>
      <c r="Q157" s="180"/>
      <c r="R157" s="175"/>
      <c r="S157" s="180"/>
      <c r="T157" s="180"/>
      <c r="U157" s="180"/>
      <c r="V157" s="180"/>
      <c r="W157" s="183" t="str">
        <f t="shared" si="29"/>
        <v/>
      </c>
      <c r="X157" s="186"/>
      <c r="Y157" s="181"/>
      <c r="Z157" s="186"/>
      <c r="AA157" s="186"/>
      <c r="AB157" s="186"/>
      <c r="AC157" s="186"/>
      <c r="AD157" s="218" t="str">
        <f t="shared" si="30"/>
        <v/>
      </c>
      <c r="AE157" s="204"/>
      <c r="AF157" s="198"/>
      <c r="AG157" s="204"/>
      <c r="AH157" s="204"/>
      <c r="AI157" s="204"/>
      <c r="AJ157" s="204"/>
      <c r="AK157" s="209" t="str">
        <f t="shared" si="31"/>
        <v/>
      </c>
      <c r="AL157" s="215"/>
      <c r="AM157" s="207"/>
      <c r="AN157" s="215"/>
      <c r="AO157" s="215"/>
      <c r="AP157" s="215"/>
      <c r="AQ157" s="215"/>
    </row>
    <row r="158" spans="1:43" x14ac:dyDescent="0.2">
      <c r="A158" s="133" t="s">
        <v>45</v>
      </c>
      <c r="B158" s="133" t="s">
        <v>38</v>
      </c>
      <c r="C158" s="133" t="s">
        <v>36</v>
      </c>
      <c r="D158" s="133" t="s">
        <v>357</v>
      </c>
      <c r="E158" s="133" t="s">
        <v>357</v>
      </c>
      <c r="F158" s="135" t="str">
        <f t="shared" si="25"/>
        <v>1003010000</v>
      </c>
      <c r="G158" s="134" t="s">
        <v>438</v>
      </c>
      <c r="H158" s="11" t="str">
        <f t="shared" si="26"/>
        <v>ESTADO - R1003010000</v>
      </c>
      <c r="I158" s="169" t="str">
        <f t="shared" si="27"/>
        <v/>
      </c>
      <c r="J158" s="172"/>
      <c r="K158" s="167"/>
      <c r="L158" s="172"/>
      <c r="M158" s="172"/>
      <c r="N158" s="172"/>
      <c r="O158" s="172"/>
      <c r="P158" s="177" t="str">
        <f t="shared" si="28"/>
        <v/>
      </c>
      <c r="Q158" s="180"/>
      <c r="R158" s="175"/>
      <c r="S158" s="180"/>
      <c r="T158" s="180"/>
      <c r="U158" s="180"/>
      <c r="V158" s="180"/>
      <c r="W158" s="183" t="str">
        <f t="shared" si="29"/>
        <v/>
      </c>
      <c r="X158" s="186"/>
      <c r="Y158" s="181"/>
      <c r="Z158" s="186"/>
      <c r="AA158" s="186"/>
      <c r="AB158" s="186"/>
      <c r="AC158" s="186"/>
      <c r="AD158" s="218" t="str">
        <f t="shared" si="30"/>
        <v/>
      </c>
      <c r="AE158" s="204"/>
      <c r="AF158" s="198"/>
      <c r="AG158" s="204"/>
      <c r="AH158" s="204"/>
      <c r="AI158" s="204"/>
      <c r="AJ158" s="204"/>
      <c r="AK158" s="209" t="str">
        <f t="shared" si="31"/>
        <v/>
      </c>
      <c r="AL158" s="215"/>
      <c r="AM158" s="207"/>
      <c r="AN158" s="215"/>
      <c r="AO158" s="215"/>
      <c r="AP158" s="215"/>
      <c r="AQ158" s="215"/>
    </row>
    <row r="159" spans="1:43" x14ac:dyDescent="0.2">
      <c r="A159" s="133" t="s">
        <v>45</v>
      </c>
      <c r="B159" s="133" t="s">
        <v>38</v>
      </c>
      <c r="C159" s="133" t="s">
        <v>43</v>
      </c>
      <c r="D159" s="133" t="s">
        <v>357</v>
      </c>
      <c r="E159" s="133" t="s">
        <v>357</v>
      </c>
      <c r="F159" s="135" t="str">
        <f t="shared" si="25"/>
        <v>1003080000</v>
      </c>
      <c r="G159" s="134" t="s">
        <v>436</v>
      </c>
      <c r="H159" s="11" t="str">
        <f t="shared" si="26"/>
        <v>SERVIÇOS E FUNDOS AUTÓNOMOS - R1003080000</v>
      </c>
      <c r="I159" s="169" t="str">
        <f t="shared" si="27"/>
        <v/>
      </c>
      <c r="J159" s="172"/>
      <c r="K159" s="167"/>
      <c r="L159" s="172"/>
      <c r="M159" s="172"/>
      <c r="N159" s="172"/>
      <c r="O159" s="172"/>
      <c r="P159" s="177" t="str">
        <f t="shared" si="28"/>
        <v/>
      </c>
      <c r="Q159" s="180"/>
      <c r="R159" s="175"/>
      <c r="S159" s="180"/>
      <c r="T159" s="180"/>
      <c r="U159" s="180"/>
      <c r="V159" s="180"/>
      <c r="W159" s="183" t="str">
        <f t="shared" si="29"/>
        <v/>
      </c>
      <c r="X159" s="186"/>
      <c r="Y159" s="181"/>
      <c r="Z159" s="186"/>
      <c r="AA159" s="186"/>
      <c r="AB159" s="186"/>
      <c r="AC159" s="186"/>
      <c r="AD159" s="218" t="str">
        <f t="shared" si="30"/>
        <v/>
      </c>
      <c r="AE159" s="204"/>
      <c r="AF159" s="198"/>
      <c r="AG159" s="204"/>
      <c r="AH159" s="204"/>
      <c r="AI159" s="204"/>
      <c r="AJ159" s="204"/>
      <c r="AK159" s="209" t="str">
        <f t="shared" si="31"/>
        <v/>
      </c>
      <c r="AL159" s="215"/>
      <c r="AM159" s="207"/>
      <c r="AN159" s="215"/>
      <c r="AO159" s="215"/>
      <c r="AP159" s="215"/>
      <c r="AQ159" s="215"/>
    </row>
    <row r="160" spans="1:43" x14ac:dyDescent="0.2">
      <c r="A160" s="133" t="s">
        <v>45</v>
      </c>
      <c r="B160" s="133" t="s">
        <v>39</v>
      </c>
      <c r="C160" s="133" t="s">
        <v>36</v>
      </c>
      <c r="D160" s="133" t="s">
        <v>357</v>
      </c>
      <c r="E160" s="133" t="s">
        <v>357</v>
      </c>
      <c r="F160" s="135" t="str">
        <f t="shared" si="25"/>
        <v>1004010000</v>
      </c>
      <c r="G160" s="134" t="s">
        <v>439</v>
      </c>
      <c r="H160" s="11" t="str">
        <f t="shared" si="26"/>
        <v>REGIÃO AUTÓNOMA DOS ACORES - R1004010000</v>
      </c>
      <c r="I160" s="169" t="str">
        <f t="shared" si="27"/>
        <v/>
      </c>
      <c r="J160" s="172"/>
      <c r="K160" s="167"/>
      <c r="L160" s="172"/>
      <c r="M160" s="172"/>
      <c r="N160" s="172"/>
      <c r="O160" s="172"/>
      <c r="P160" s="177" t="str">
        <f t="shared" si="28"/>
        <v/>
      </c>
      <c r="Q160" s="180"/>
      <c r="R160" s="175"/>
      <c r="S160" s="180"/>
      <c r="T160" s="180"/>
      <c r="U160" s="180"/>
      <c r="V160" s="180"/>
      <c r="W160" s="183" t="str">
        <f t="shared" si="29"/>
        <v/>
      </c>
      <c r="X160" s="186"/>
      <c r="Y160" s="181"/>
      <c r="Z160" s="186"/>
      <c r="AA160" s="186"/>
      <c r="AB160" s="186"/>
      <c r="AC160" s="186"/>
      <c r="AD160" s="218" t="str">
        <f t="shared" si="30"/>
        <v/>
      </c>
      <c r="AE160" s="204"/>
      <c r="AF160" s="198"/>
      <c r="AG160" s="204"/>
      <c r="AH160" s="204"/>
      <c r="AI160" s="204"/>
      <c r="AJ160" s="204"/>
      <c r="AK160" s="209" t="str">
        <f t="shared" si="31"/>
        <v/>
      </c>
      <c r="AL160" s="215"/>
      <c r="AM160" s="207"/>
      <c r="AN160" s="215"/>
      <c r="AO160" s="215"/>
      <c r="AP160" s="215"/>
      <c r="AQ160" s="215"/>
    </row>
    <row r="161" spans="1:43" x14ac:dyDescent="0.2">
      <c r="A161" s="133" t="s">
        <v>45</v>
      </c>
      <c r="B161" s="133" t="s">
        <v>44</v>
      </c>
      <c r="C161" s="133" t="s">
        <v>36</v>
      </c>
      <c r="D161" s="133" t="s">
        <v>357</v>
      </c>
      <c r="E161" s="133" t="s">
        <v>357</v>
      </c>
      <c r="F161" s="135" t="str">
        <f t="shared" si="25"/>
        <v>1009010000</v>
      </c>
      <c r="G161" s="134" t="s">
        <v>434</v>
      </c>
      <c r="H161" s="11" t="str">
        <f t="shared" si="26"/>
        <v>UNIÃO EUROPEIA - INSTITUIÇÕES - R1009010000</v>
      </c>
      <c r="I161" s="169" t="str">
        <f t="shared" si="27"/>
        <v/>
      </c>
      <c r="J161" s="172"/>
      <c r="K161" s="167"/>
      <c r="L161" s="172"/>
      <c r="M161" s="172"/>
      <c r="N161" s="172"/>
      <c r="O161" s="172"/>
      <c r="P161" s="177" t="str">
        <f t="shared" si="28"/>
        <v/>
      </c>
      <c r="Q161" s="180"/>
      <c r="R161" s="175"/>
      <c r="S161" s="180"/>
      <c r="T161" s="180"/>
      <c r="U161" s="180"/>
      <c r="V161" s="180"/>
      <c r="W161" s="183" t="str">
        <f t="shared" si="29"/>
        <v/>
      </c>
      <c r="X161" s="186"/>
      <c r="Y161" s="181"/>
      <c r="Z161" s="186"/>
      <c r="AA161" s="186"/>
      <c r="AB161" s="186"/>
      <c r="AC161" s="186"/>
      <c r="AD161" s="218" t="str">
        <f t="shared" si="30"/>
        <v/>
      </c>
      <c r="AE161" s="204"/>
      <c r="AF161" s="198"/>
      <c r="AG161" s="204"/>
      <c r="AH161" s="204"/>
      <c r="AI161" s="204"/>
      <c r="AJ161" s="204"/>
      <c r="AK161" s="209" t="str">
        <f t="shared" si="31"/>
        <v/>
      </c>
      <c r="AL161" s="215"/>
      <c r="AM161" s="207"/>
      <c r="AN161" s="215"/>
      <c r="AO161" s="215"/>
      <c r="AP161" s="215"/>
      <c r="AQ161" s="215"/>
    </row>
    <row r="162" spans="1:43" x14ac:dyDescent="0.2">
      <c r="A162" s="133" t="s">
        <v>45</v>
      </c>
      <c r="B162" s="133" t="s">
        <v>44</v>
      </c>
      <c r="C162" s="133" t="s">
        <v>38</v>
      </c>
      <c r="D162" s="133" t="s">
        <v>357</v>
      </c>
      <c r="E162" s="133" t="s">
        <v>357</v>
      </c>
      <c r="F162" s="135" t="str">
        <f t="shared" si="25"/>
        <v>1009030000</v>
      </c>
      <c r="G162" s="134" t="s">
        <v>476</v>
      </c>
      <c r="H162" s="11" t="str">
        <f t="shared" si="26"/>
        <v>UNIÃO EUROPEIA - PAÍSES MEMBROS - R1009030000</v>
      </c>
      <c r="I162" s="169" t="str">
        <f t="shared" si="27"/>
        <v/>
      </c>
      <c r="J162" s="172"/>
      <c r="K162" s="167"/>
      <c r="L162" s="172"/>
      <c r="M162" s="172"/>
      <c r="N162" s="172"/>
      <c r="O162" s="172"/>
      <c r="P162" s="177" t="str">
        <f t="shared" si="28"/>
        <v/>
      </c>
      <c r="Q162" s="180"/>
      <c r="R162" s="175"/>
      <c r="S162" s="180"/>
      <c r="T162" s="180"/>
      <c r="U162" s="180"/>
      <c r="V162" s="180"/>
      <c r="W162" s="183" t="str">
        <f t="shared" si="29"/>
        <v/>
      </c>
      <c r="X162" s="186"/>
      <c r="Y162" s="181"/>
      <c r="Z162" s="186"/>
      <c r="AA162" s="186"/>
      <c r="AB162" s="186"/>
      <c r="AC162" s="186"/>
      <c r="AD162" s="218" t="str">
        <f t="shared" si="30"/>
        <v/>
      </c>
      <c r="AE162" s="204"/>
      <c r="AF162" s="198"/>
      <c r="AG162" s="204"/>
      <c r="AH162" s="204"/>
      <c r="AI162" s="204"/>
      <c r="AJ162" s="204"/>
      <c r="AK162" s="209" t="str">
        <f t="shared" si="31"/>
        <v/>
      </c>
      <c r="AL162" s="215"/>
      <c r="AM162" s="207"/>
      <c r="AN162" s="215"/>
      <c r="AO162" s="215"/>
      <c r="AP162" s="215"/>
      <c r="AQ162" s="215"/>
    </row>
    <row r="163" spans="1:43" x14ac:dyDescent="0.2">
      <c r="A163" s="133" t="s">
        <v>45</v>
      </c>
      <c r="B163" s="133" t="s">
        <v>44</v>
      </c>
      <c r="C163" s="133" t="s">
        <v>39</v>
      </c>
      <c r="D163" s="133" t="s">
        <v>357</v>
      </c>
      <c r="E163" s="133" t="s">
        <v>357</v>
      </c>
      <c r="F163" s="135" t="str">
        <f t="shared" si="25"/>
        <v>1009040000</v>
      </c>
      <c r="G163" s="134" t="s">
        <v>437</v>
      </c>
      <c r="H163" s="11" t="str">
        <f t="shared" si="26"/>
        <v>PAÍSES TERCEIROS E ORGANIZAÇÕES INTERNACIONAIS - R1009040000</v>
      </c>
      <c r="I163" s="169" t="str">
        <f t="shared" si="27"/>
        <v/>
      </c>
      <c r="J163" s="172"/>
      <c r="K163" s="167"/>
      <c r="L163" s="172"/>
      <c r="M163" s="172"/>
      <c r="N163" s="172"/>
      <c r="O163" s="172"/>
      <c r="P163" s="177" t="str">
        <f t="shared" si="28"/>
        <v/>
      </c>
      <c r="Q163" s="180"/>
      <c r="R163" s="175"/>
      <c r="S163" s="180"/>
      <c r="T163" s="180"/>
      <c r="U163" s="180"/>
      <c r="V163" s="180"/>
      <c r="W163" s="183" t="str">
        <f t="shared" si="29"/>
        <v/>
      </c>
      <c r="X163" s="186"/>
      <c r="Y163" s="181"/>
      <c r="Z163" s="186"/>
      <c r="AA163" s="186"/>
      <c r="AB163" s="186"/>
      <c r="AC163" s="186"/>
      <c r="AD163" s="218" t="str">
        <f t="shared" si="30"/>
        <v/>
      </c>
      <c r="AE163" s="204"/>
      <c r="AF163" s="198"/>
      <c r="AG163" s="204"/>
      <c r="AH163" s="204"/>
      <c r="AI163" s="204"/>
      <c r="AJ163" s="204"/>
      <c r="AK163" s="209" t="str">
        <f t="shared" si="31"/>
        <v/>
      </c>
      <c r="AL163" s="215"/>
      <c r="AM163" s="207"/>
      <c r="AN163" s="215"/>
      <c r="AO163" s="215"/>
      <c r="AP163" s="215"/>
      <c r="AQ163" s="215"/>
    </row>
    <row r="164" spans="1:43" x14ac:dyDescent="0.2">
      <c r="A164" s="133" t="s">
        <v>288</v>
      </c>
      <c r="B164" s="133" t="s">
        <v>40</v>
      </c>
      <c r="C164" s="133" t="s">
        <v>36</v>
      </c>
      <c r="D164" s="133" t="s">
        <v>357</v>
      </c>
      <c r="E164" s="133" t="s">
        <v>357</v>
      </c>
      <c r="F164" s="135" t="str">
        <f t="shared" si="25"/>
        <v>1105010000</v>
      </c>
      <c r="G164" s="134" t="s">
        <v>471</v>
      </c>
      <c r="H164" s="11" t="str">
        <f t="shared" si="26"/>
        <v>SOCIEDADES E QUASE SOC. NÃO FINANCEIRAS - R1105010000</v>
      </c>
      <c r="I164" s="169" t="str">
        <f t="shared" si="27"/>
        <v/>
      </c>
      <c r="J164" s="172"/>
      <c r="K164" s="167"/>
      <c r="L164" s="172"/>
      <c r="M164" s="172"/>
      <c r="N164" s="172"/>
      <c r="O164" s="172"/>
      <c r="P164" s="177" t="str">
        <f t="shared" si="28"/>
        <v/>
      </c>
      <c r="Q164" s="180"/>
      <c r="R164" s="175"/>
      <c r="S164" s="180"/>
      <c r="T164" s="180"/>
      <c r="U164" s="180"/>
      <c r="V164" s="180"/>
      <c r="W164" s="183" t="str">
        <f t="shared" si="29"/>
        <v/>
      </c>
      <c r="X164" s="186"/>
      <c r="Y164" s="181"/>
      <c r="Z164" s="186"/>
      <c r="AA164" s="186"/>
      <c r="AB164" s="186"/>
      <c r="AC164" s="186"/>
      <c r="AD164" s="218" t="str">
        <f t="shared" si="30"/>
        <v/>
      </c>
      <c r="AE164" s="204"/>
      <c r="AF164" s="198"/>
      <c r="AG164" s="204"/>
      <c r="AH164" s="204"/>
      <c r="AI164" s="204"/>
      <c r="AJ164" s="204"/>
      <c r="AK164" s="209" t="str">
        <f t="shared" si="31"/>
        <v/>
      </c>
      <c r="AL164" s="215"/>
      <c r="AM164" s="207"/>
      <c r="AN164" s="215"/>
      <c r="AO164" s="215"/>
      <c r="AP164" s="215"/>
      <c r="AQ164" s="215"/>
    </row>
    <row r="165" spans="1:43" x14ac:dyDescent="0.2">
      <c r="A165" s="133" t="s">
        <v>288</v>
      </c>
      <c r="B165" s="133" t="s">
        <v>40</v>
      </c>
      <c r="C165" s="133" t="s">
        <v>44</v>
      </c>
      <c r="D165" s="133" t="s">
        <v>357</v>
      </c>
      <c r="E165" s="133" t="s">
        <v>357</v>
      </c>
      <c r="F165" s="135" t="str">
        <f t="shared" si="25"/>
        <v>1105090000</v>
      </c>
      <c r="G165" s="134" t="s">
        <v>464</v>
      </c>
      <c r="H165" s="11" t="str">
        <f t="shared" si="26"/>
        <v>INSTITUIÇÕES S/FINS LUCRATIVOS - R1105090000</v>
      </c>
      <c r="I165" s="169" t="str">
        <f t="shared" si="27"/>
        <v/>
      </c>
      <c r="J165" s="172"/>
      <c r="K165" s="167"/>
      <c r="L165" s="172"/>
      <c r="M165" s="172"/>
      <c r="N165" s="172"/>
      <c r="O165" s="172"/>
      <c r="P165" s="177" t="str">
        <f t="shared" si="28"/>
        <v/>
      </c>
      <c r="Q165" s="180"/>
      <c r="R165" s="175"/>
      <c r="S165" s="180"/>
      <c r="T165" s="180"/>
      <c r="U165" s="180"/>
      <c r="V165" s="180"/>
      <c r="W165" s="183" t="str">
        <f t="shared" si="29"/>
        <v/>
      </c>
      <c r="X165" s="186"/>
      <c r="Y165" s="181"/>
      <c r="Z165" s="186"/>
      <c r="AA165" s="186"/>
      <c r="AB165" s="186"/>
      <c r="AC165" s="186"/>
      <c r="AD165" s="218" t="str">
        <f t="shared" si="30"/>
        <v/>
      </c>
      <c r="AE165" s="204"/>
      <c r="AF165" s="198"/>
      <c r="AG165" s="204"/>
      <c r="AH165" s="204"/>
      <c r="AI165" s="204"/>
      <c r="AJ165" s="204"/>
      <c r="AK165" s="209" t="str">
        <f t="shared" si="31"/>
        <v/>
      </c>
      <c r="AL165" s="215"/>
      <c r="AM165" s="207"/>
      <c r="AN165" s="215"/>
      <c r="AO165" s="215"/>
      <c r="AP165" s="215"/>
      <c r="AQ165" s="215"/>
    </row>
    <row r="166" spans="1:43" x14ac:dyDescent="0.2">
      <c r="A166" s="133" t="s">
        <v>288</v>
      </c>
      <c r="B166" s="133" t="s">
        <v>40</v>
      </c>
      <c r="C166" s="133" t="s">
        <v>45</v>
      </c>
      <c r="D166" s="133" t="s">
        <v>357</v>
      </c>
      <c r="E166" s="133" t="s">
        <v>357</v>
      </c>
      <c r="F166" s="135" t="str">
        <f t="shared" si="25"/>
        <v>1105100000</v>
      </c>
      <c r="G166" s="134" t="s">
        <v>466</v>
      </c>
      <c r="H166" s="11" t="str">
        <f t="shared" si="26"/>
        <v>FAMÍLIAS - R1105100000</v>
      </c>
      <c r="I166" s="169" t="str">
        <f t="shared" si="27"/>
        <v/>
      </c>
      <c r="J166" s="172"/>
      <c r="K166" s="167"/>
      <c r="L166" s="172"/>
      <c r="M166" s="172"/>
      <c r="N166" s="172"/>
      <c r="O166" s="172"/>
      <c r="P166" s="177" t="str">
        <f t="shared" si="28"/>
        <v/>
      </c>
      <c r="Q166" s="180"/>
      <c r="R166" s="175"/>
      <c r="S166" s="180"/>
      <c r="T166" s="180"/>
      <c r="U166" s="180"/>
      <c r="V166" s="180"/>
      <c r="W166" s="183" t="str">
        <f t="shared" si="29"/>
        <v/>
      </c>
      <c r="X166" s="186"/>
      <c r="Y166" s="181"/>
      <c r="Z166" s="186"/>
      <c r="AA166" s="186"/>
      <c r="AB166" s="186"/>
      <c r="AC166" s="186"/>
      <c r="AD166" s="218" t="str">
        <f t="shared" si="30"/>
        <v/>
      </c>
      <c r="AE166" s="204"/>
      <c r="AF166" s="198"/>
      <c r="AG166" s="204"/>
      <c r="AH166" s="204"/>
      <c r="AI166" s="204"/>
      <c r="AJ166" s="204"/>
      <c r="AK166" s="209" t="str">
        <f t="shared" si="31"/>
        <v/>
      </c>
      <c r="AL166" s="215"/>
      <c r="AM166" s="207"/>
      <c r="AN166" s="215"/>
      <c r="AO166" s="215"/>
      <c r="AP166" s="215"/>
      <c r="AQ166" s="215"/>
    </row>
    <row r="167" spans="1:43" x14ac:dyDescent="0.2">
      <c r="A167" s="133" t="s">
        <v>288</v>
      </c>
      <c r="B167" s="133" t="s">
        <v>41</v>
      </c>
      <c r="C167" s="133" t="s">
        <v>36</v>
      </c>
      <c r="D167" s="133" t="s">
        <v>357</v>
      </c>
      <c r="E167" s="133" t="s">
        <v>357</v>
      </c>
      <c r="F167" s="135" t="str">
        <f t="shared" si="25"/>
        <v>1106010000</v>
      </c>
      <c r="G167" s="134" t="s">
        <v>471</v>
      </c>
      <c r="H167" s="11" t="str">
        <f t="shared" si="26"/>
        <v>SOCIEDADES E QUASE SOC. NÃO FINANCEIRAS - R1106010000</v>
      </c>
      <c r="I167" s="169" t="str">
        <f t="shared" si="27"/>
        <v/>
      </c>
      <c r="J167" s="172"/>
      <c r="K167" s="167"/>
      <c r="L167" s="172"/>
      <c r="M167" s="172"/>
      <c r="N167" s="172"/>
      <c r="O167" s="172"/>
      <c r="P167" s="177" t="str">
        <f t="shared" si="28"/>
        <v/>
      </c>
      <c r="Q167" s="180"/>
      <c r="R167" s="175"/>
      <c r="S167" s="180"/>
      <c r="T167" s="180"/>
      <c r="U167" s="180"/>
      <c r="V167" s="180"/>
      <c r="W167" s="183" t="str">
        <f t="shared" si="29"/>
        <v/>
      </c>
      <c r="X167" s="186"/>
      <c r="Y167" s="181"/>
      <c r="Z167" s="186"/>
      <c r="AA167" s="186"/>
      <c r="AB167" s="186"/>
      <c r="AC167" s="186"/>
      <c r="AD167" s="218" t="str">
        <f t="shared" si="30"/>
        <v/>
      </c>
      <c r="AE167" s="204"/>
      <c r="AF167" s="198"/>
      <c r="AG167" s="204"/>
      <c r="AH167" s="204"/>
      <c r="AI167" s="204"/>
      <c r="AJ167" s="204"/>
      <c r="AK167" s="209" t="str">
        <f t="shared" si="31"/>
        <v/>
      </c>
      <c r="AL167" s="215"/>
      <c r="AM167" s="207"/>
      <c r="AN167" s="215"/>
      <c r="AO167" s="215"/>
      <c r="AP167" s="215"/>
      <c r="AQ167" s="215"/>
    </row>
    <row r="168" spans="1:43" x14ac:dyDescent="0.2">
      <c r="A168" s="133" t="s">
        <v>288</v>
      </c>
      <c r="B168" s="133" t="s">
        <v>41</v>
      </c>
      <c r="C168" s="133" t="s">
        <v>44</v>
      </c>
      <c r="D168" s="133" t="s">
        <v>357</v>
      </c>
      <c r="E168" s="133" t="s">
        <v>357</v>
      </c>
      <c r="F168" s="135" t="str">
        <f t="shared" si="25"/>
        <v>1106090000</v>
      </c>
      <c r="G168" s="134" t="s">
        <v>464</v>
      </c>
      <c r="H168" s="11" t="str">
        <f t="shared" si="26"/>
        <v>INSTITUIÇÕES S/FINS LUCRATIVOS - R1106090000</v>
      </c>
      <c r="I168" s="169" t="str">
        <f t="shared" si="27"/>
        <v/>
      </c>
      <c r="J168" s="172"/>
      <c r="K168" s="167"/>
      <c r="L168" s="172"/>
      <c r="M168" s="172"/>
      <c r="N168" s="172"/>
      <c r="O168" s="172"/>
      <c r="P168" s="177" t="str">
        <f t="shared" si="28"/>
        <v/>
      </c>
      <c r="Q168" s="180"/>
      <c r="R168" s="175"/>
      <c r="S168" s="180"/>
      <c r="T168" s="180"/>
      <c r="U168" s="180"/>
      <c r="V168" s="180"/>
      <c r="W168" s="183" t="str">
        <f t="shared" si="29"/>
        <v/>
      </c>
      <c r="X168" s="186"/>
      <c r="Y168" s="181"/>
      <c r="Z168" s="186"/>
      <c r="AA168" s="186"/>
      <c r="AB168" s="186"/>
      <c r="AC168" s="186"/>
      <c r="AD168" s="218" t="str">
        <f t="shared" si="30"/>
        <v/>
      </c>
      <c r="AE168" s="204"/>
      <c r="AF168" s="198"/>
      <c r="AG168" s="204"/>
      <c r="AH168" s="204"/>
      <c r="AI168" s="204"/>
      <c r="AJ168" s="204"/>
      <c r="AK168" s="209" t="str">
        <f t="shared" si="31"/>
        <v/>
      </c>
      <c r="AL168" s="215"/>
      <c r="AM168" s="207"/>
      <c r="AN168" s="215"/>
      <c r="AO168" s="215"/>
      <c r="AP168" s="215"/>
      <c r="AQ168" s="215"/>
    </row>
    <row r="169" spans="1:43" x14ac:dyDescent="0.2">
      <c r="A169" s="133" t="s">
        <v>288</v>
      </c>
      <c r="B169" s="133" t="s">
        <v>41</v>
      </c>
      <c r="C169" s="133" t="s">
        <v>45</v>
      </c>
      <c r="D169" s="133" t="s">
        <v>357</v>
      </c>
      <c r="E169" s="133" t="s">
        <v>357</v>
      </c>
      <c r="F169" s="135" t="str">
        <f t="shared" si="25"/>
        <v>1106100000</v>
      </c>
      <c r="G169" s="134" t="s">
        <v>466</v>
      </c>
      <c r="H169" s="11" t="str">
        <f t="shared" si="26"/>
        <v>FAMÍLIAS - R1106100000</v>
      </c>
      <c r="I169" s="169" t="str">
        <f t="shared" si="27"/>
        <v/>
      </c>
      <c r="J169" s="172"/>
      <c r="K169" s="167"/>
      <c r="L169" s="172"/>
      <c r="M169" s="172"/>
      <c r="N169" s="172"/>
      <c r="O169" s="172"/>
      <c r="P169" s="177" t="str">
        <f t="shared" si="28"/>
        <v/>
      </c>
      <c r="Q169" s="180"/>
      <c r="R169" s="175"/>
      <c r="S169" s="180"/>
      <c r="T169" s="180"/>
      <c r="U169" s="180"/>
      <c r="V169" s="180"/>
      <c r="W169" s="183" t="str">
        <f t="shared" si="29"/>
        <v/>
      </c>
      <c r="X169" s="186"/>
      <c r="Y169" s="181"/>
      <c r="Z169" s="186"/>
      <c r="AA169" s="186"/>
      <c r="AB169" s="186"/>
      <c r="AC169" s="186"/>
      <c r="AD169" s="218" t="str">
        <f t="shared" si="30"/>
        <v/>
      </c>
      <c r="AE169" s="204"/>
      <c r="AF169" s="198"/>
      <c r="AG169" s="204"/>
      <c r="AH169" s="204"/>
      <c r="AI169" s="204"/>
      <c r="AJ169" s="204"/>
      <c r="AK169" s="209" t="str">
        <f t="shared" si="31"/>
        <v/>
      </c>
      <c r="AL169" s="215"/>
      <c r="AM169" s="207"/>
      <c r="AN169" s="215"/>
      <c r="AO169" s="215"/>
      <c r="AP169" s="215"/>
      <c r="AQ169" s="215"/>
    </row>
    <row r="170" spans="1:43" x14ac:dyDescent="0.2">
      <c r="A170" s="133" t="s">
        <v>288</v>
      </c>
      <c r="B170" s="133" t="s">
        <v>42</v>
      </c>
      <c r="C170" s="133" t="s">
        <v>36</v>
      </c>
      <c r="D170" s="133" t="s">
        <v>357</v>
      </c>
      <c r="E170" s="133" t="s">
        <v>357</v>
      </c>
      <c r="F170" s="135" t="str">
        <f t="shared" si="25"/>
        <v>1107010000</v>
      </c>
      <c r="G170" s="134" t="s">
        <v>478</v>
      </c>
      <c r="H170" s="11" t="str">
        <f t="shared" si="26"/>
        <v>RECUPERAÇÃO DE CRÉDITOS GARANTIDOS - R1107010000</v>
      </c>
      <c r="I170" s="169" t="str">
        <f t="shared" si="27"/>
        <v/>
      </c>
      <c r="J170" s="172"/>
      <c r="K170" s="167"/>
      <c r="L170" s="172"/>
      <c r="M170" s="172"/>
      <c r="N170" s="172"/>
      <c r="O170" s="172"/>
      <c r="P170" s="177" t="str">
        <f t="shared" si="28"/>
        <v/>
      </c>
      <c r="Q170" s="180"/>
      <c r="R170" s="175"/>
      <c r="S170" s="180"/>
      <c r="T170" s="180"/>
      <c r="U170" s="180"/>
      <c r="V170" s="180"/>
      <c r="W170" s="183" t="str">
        <f t="shared" si="29"/>
        <v/>
      </c>
      <c r="X170" s="186"/>
      <c r="Y170" s="181"/>
      <c r="Z170" s="186"/>
      <c r="AA170" s="186"/>
      <c r="AB170" s="186"/>
      <c r="AC170" s="186"/>
      <c r="AD170" s="218" t="str">
        <f t="shared" si="30"/>
        <v/>
      </c>
      <c r="AE170" s="204"/>
      <c r="AF170" s="198"/>
      <c r="AG170" s="204"/>
      <c r="AH170" s="204"/>
      <c r="AI170" s="204"/>
      <c r="AJ170" s="204"/>
      <c r="AK170" s="209" t="str">
        <f t="shared" si="31"/>
        <v/>
      </c>
      <c r="AL170" s="215"/>
      <c r="AM170" s="207"/>
      <c r="AN170" s="215"/>
      <c r="AO170" s="215"/>
      <c r="AP170" s="215"/>
      <c r="AQ170" s="215"/>
    </row>
    <row r="171" spans="1:43" x14ac:dyDescent="0.2">
      <c r="A171" s="133" t="s">
        <v>288</v>
      </c>
      <c r="B171" s="133" t="s">
        <v>45</v>
      </c>
      <c r="C171" s="133" t="s">
        <v>36</v>
      </c>
      <c r="D171" s="133" t="s">
        <v>357</v>
      </c>
      <c r="E171" s="133" t="s">
        <v>357</v>
      </c>
      <c r="F171" s="135" t="str">
        <f t="shared" si="25"/>
        <v>1110010000</v>
      </c>
      <c r="G171" s="134" t="s">
        <v>477</v>
      </c>
      <c r="H171" s="11" t="str">
        <f t="shared" si="26"/>
        <v>ALIENAÇÃO DE PARTES SOCIAIS DE EMPRESAS - R1110010000</v>
      </c>
      <c r="I171" s="169" t="str">
        <f t="shared" si="27"/>
        <v/>
      </c>
      <c r="J171" s="172"/>
      <c r="K171" s="167"/>
      <c r="L171" s="172"/>
      <c r="M171" s="172"/>
      <c r="N171" s="172"/>
      <c r="O171" s="172"/>
      <c r="P171" s="177" t="str">
        <f t="shared" si="28"/>
        <v/>
      </c>
      <c r="Q171" s="180"/>
      <c r="R171" s="175"/>
      <c r="S171" s="180"/>
      <c r="T171" s="180"/>
      <c r="U171" s="180"/>
      <c r="V171" s="180"/>
      <c r="W171" s="183" t="str">
        <f t="shared" si="29"/>
        <v/>
      </c>
      <c r="X171" s="186"/>
      <c r="Y171" s="181"/>
      <c r="Z171" s="186"/>
      <c r="AA171" s="186"/>
      <c r="AB171" s="186"/>
      <c r="AC171" s="186"/>
      <c r="AD171" s="218" t="str">
        <f t="shared" si="30"/>
        <v/>
      </c>
      <c r="AE171" s="204"/>
      <c r="AF171" s="198"/>
      <c r="AG171" s="204"/>
      <c r="AH171" s="204"/>
      <c r="AI171" s="204"/>
      <c r="AJ171" s="204"/>
      <c r="AK171" s="209" t="str">
        <f t="shared" si="31"/>
        <v/>
      </c>
      <c r="AL171" s="215"/>
      <c r="AM171" s="207"/>
      <c r="AN171" s="215"/>
      <c r="AO171" s="215"/>
      <c r="AP171" s="215"/>
      <c r="AQ171" s="215"/>
    </row>
    <row r="172" spans="1:43" x14ac:dyDescent="0.2">
      <c r="A172" s="133" t="s">
        <v>290</v>
      </c>
      <c r="B172" s="133" t="s">
        <v>41</v>
      </c>
      <c r="C172" s="133" t="s">
        <v>37</v>
      </c>
      <c r="D172" s="133" t="s">
        <v>357</v>
      </c>
      <c r="E172" s="133" t="s">
        <v>357</v>
      </c>
      <c r="F172" s="135" t="str">
        <f t="shared" si="25"/>
        <v>1206020000</v>
      </c>
      <c r="G172" s="134" t="s">
        <v>470</v>
      </c>
      <c r="H172" s="11" t="str">
        <f t="shared" si="26"/>
        <v>SOCIEDADES FINANCEIRAS - R1206020000</v>
      </c>
      <c r="I172" s="169" t="str">
        <f t="shared" si="27"/>
        <v/>
      </c>
      <c r="J172" s="172"/>
      <c r="K172" s="167"/>
      <c r="L172" s="172"/>
      <c r="M172" s="172"/>
      <c r="N172" s="172"/>
      <c r="O172" s="172"/>
      <c r="P172" s="177" t="str">
        <f t="shared" si="28"/>
        <v/>
      </c>
      <c r="Q172" s="180"/>
      <c r="R172" s="175"/>
      <c r="S172" s="180"/>
      <c r="T172" s="180"/>
      <c r="U172" s="180"/>
      <c r="V172" s="180"/>
      <c r="W172" s="183" t="str">
        <f t="shared" si="29"/>
        <v/>
      </c>
      <c r="X172" s="186"/>
      <c r="Y172" s="181"/>
      <c r="Z172" s="186"/>
      <c r="AA172" s="186"/>
      <c r="AB172" s="186"/>
      <c r="AC172" s="186"/>
      <c r="AD172" s="218" t="str">
        <f t="shared" si="30"/>
        <v/>
      </c>
      <c r="AE172" s="204"/>
      <c r="AF172" s="198"/>
      <c r="AG172" s="204"/>
      <c r="AH172" s="204"/>
      <c r="AI172" s="204"/>
      <c r="AJ172" s="204"/>
      <c r="AK172" s="209" t="str">
        <f t="shared" si="31"/>
        <v/>
      </c>
      <c r="AL172" s="215"/>
      <c r="AM172" s="207"/>
      <c r="AN172" s="215"/>
      <c r="AO172" s="215"/>
      <c r="AP172" s="215"/>
      <c r="AQ172" s="215"/>
    </row>
    <row r="173" spans="1:43" x14ac:dyDescent="0.2">
      <c r="A173" s="133" t="s">
        <v>291</v>
      </c>
      <c r="B173" s="133" t="s">
        <v>36</v>
      </c>
      <c r="C173" s="133" t="s">
        <v>36</v>
      </c>
      <c r="D173" s="133" t="s">
        <v>357</v>
      </c>
      <c r="E173" s="133" t="s">
        <v>357</v>
      </c>
      <c r="F173" s="135" t="str">
        <f t="shared" si="25"/>
        <v>1301010000</v>
      </c>
      <c r="G173" s="134" t="s">
        <v>479</v>
      </c>
      <c r="H173" s="11" t="str">
        <f t="shared" si="26"/>
        <v>INDEMNIZAÇÕES - R1301010000</v>
      </c>
      <c r="I173" s="169" t="str">
        <f t="shared" si="27"/>
        <v/>
      </c>
      <c r="J173" s="172"/>
      <c r="K173" s="167"/>
      <c r="L173" s="172"/>
      <c r="M173" s="172"/>
      <c r="N173" s="172"/>
      <c r="O173" s="172"/>
      <c r="P173" s="177" t="str">
        <f t="shared" si="28"/>
        <v/>
      </c>
      <c r="Q173" s="180"/>
      <c r="R173" s="175"/>
      <c r="S173" s="180"/>
      <c r="T173" s="180"/>
      <c r="U173" s="180"/>
      <c r="V173" s="180"/>
      <c r="W173" s="183" t="str">
        <f t="shared" si="29"/>
        <v/>
      </c>
      <c r="X173" s="186"/>
      <c r="Y173" s="181"/>
      <c r="Z173" s="186"/>
      <c r="AA173" s="186"/>
      <c r="AB173" s="186"/>
      <c r="AC173" s="186"/>
      <c r="AD173" s="218" t="str">
        <f t="shared" si="30"/>
        <v/>
      </c>
      <c r="AE173" s="204"/>
      <c r="AF173" s="198"/>
      <c r="AG173" s="204"/>
      <c r="AH173" s="204"/>
      <c r="AI173" s="204"/>
      <c r="AJ173" s="204"/>
      <c r="AK173" s="209" t="str">
        <f t="shared" si="31"/>
        <v/>
      </c>
      <c r="AL173" s="215"/>
      <c r="AM173" s="207"/>
      <c r="AN173" s="215"/>
      <c r="AO173" s="215"/>
      <c r="AP173" s="215"/>
      <c r="AQ173" s="215"/>
    </row>
    <row r="174" spans="1:43" x14ac:dyDescent="0.2">
      <c r="A174" s="133" t="s">
        <v>291</v>
      </c>
      <c r="B174" s="133" t="s">
        <v>36</v>
      </c>
      <c r="C174" s="133" t="s">
        <v>37</v>
      </c>
      <c r="D174" s="133" t="s">
        <v>357</v>
      </c>
      <c r="E174" s="133" t="s">
        <v>357</v>
      </c>
      <c r="F174" s="135" t="str">
        <f t="shared" si="25"/>
        <v>1301020000</v>
      </c>
      <c r="G174" s="134" t="s">
        <v>426</v>
      </c>
      <c r="H174" s="11" t="str">
        <f t="shared" si="26"/>
        <v>ATIVOS INCORPÓREOS - R1301020000</v>
      </c>
      <c r="I174" s="169" t="str">
        <f t="shared" si="27"/>
        <v/>
      </c>
      <c r="J174" s="172"/>
      <c r="K174" s="167"/>
      <c r="L174" s="172"/>
      <c r="M174" s="172"/>
      <c r="N174" s="172"/>
      <c r="O174" s="172"/>
      <c r="P174" s="177" t="str">
        <f t="shared" si="28"/>
        <v/>
      </c>
      <c r="Q174" s="180"/>
      <c r="R174" s="175"/>
      <c r="S174" s="180"/>
      <c r="T174" s="180"/>
      <c r="U174" s="180"/>
      <c r="V174" s="180"/>
      <c r="W174" s="183" t="str">
        <f t="shared" si="29"/>
        <v/>
      </c>
      <c r="X174" s="186"/>
      <c r="Y174" s="181"/>
      <c r="Z174" s="186"/>
      <c r="AA174" s="186"/>
      <c r="AB174" s="186"/>
      <c r="AC174" s="186"/>
      <c r="AD174" s="218" t="str">
        <f t="shared" si="30"/>
        <v/>
      </c>
      <c r="AE174" s="204"/>
      <c r="AF174" s="198"/>
      <c r="AG174" s="204"/>
      <c r="AH174" s="204"/>
      <c r="AI174" s="204"/>
      <c r="AJ174" s="204"/>
      <c r="AK174" s="209" t="str">
        <f t="shared" si="31"/>
        <v/>
      </c>
      <c r="AL174" s="215"/>
      <c r="AM174" s="207"/>
      <c r="AN174" s="215"/>
      <c r="AO174" s="215"/>
      <c r="AP174" s="215"/>
      <c r="AQ174" s="215"/>
    </row>
    <row r="175" spans="1:43" x14ac:dyDescent="0.2">
      <c r="A175" s="133" t="s">
        <v>291</v>
      </c>
      <c r="B175" s="133" t="s">
        <v>36</v>
      </c>
      <c r="C175" s="133" t="s">
        <v>329</v>
      </c>
      <c r="D175" s="133" t="s">
        <v>357</v>
      </c>
      <c r="E175" s="133" t="s">
        <v>357</v>
      </c>
      <c r="F175" s="135" t="str">
        <f t="shared" si="25"/>
        <v>1301990000</v>
      </c>
      <c r="G175" s="134" t="s">
        <v>412</v>
      </c>
      <c r="H175" s="11" t="str">
        <f t="shared" si="26"/>
        <v>OUTRAS - R1301990000</v>
      </c>
      <c r="I175" s="169" t="str">
        <f t="shared" si="27"/>
        <v/>
      </c>
      <c r="J175" s="172"/>
      <c r="K175" s="167"/>
      <c r="L175" s="172"/>
      <c r="M175" s="172"/>
      <c r="N175" s="172"/>
      <c r="O175" s="172"/>
      <c r="P175" s="177" t="str">
        <f t="shared" si="28"/>
        <v/>
      </c>
      <c r="Q175" s="180"/>
      <c r="R175" s="175"/>
      <c r="S175" s="180"/>
      <c r="T175" s="180"/>
      <c r="U175" s="180"/>
      <c r="V175" s="180"/>
      <c r="W175" s="183" t="str">
        <f t="shared" si="29"/>
        <v/>
      </c>
      <c r="X175" s="186"/>
      <c r="Y175" s="181"/>
      <c r="Z175" s="186"/>
      <c r="AA175" s="186"/>
      <c r="AB175" s="186"/>
      <c r="AC175" s="186"/>
      <c r="AD175" s="218" t="str">
        <f t="shared" si="30"/>
        <v/>
      </c>
      <c r="AE175" s="204"/>
      <c r="AF175" s="198"/>
      <c r="AG175" s="204"/>
      <c r="AH175" s="204"/>
      <c r="AI175" s="204"/>
      <c r="AJ175" s="204"/>
      <c r="AK175" s="209" t="str">
        <f t="shared" si="31"/>
        <v/>
      </c>
      <c r="AL175" s="215"/>
      <c r="AM175" s="207"/>
      <c r="AN175" s="215"/>
      <c r="AO175" s="215"/>
      <c r="AP175" s="215"/>
      <c r="AQ175" s="215"/>
    </row>
    <row r="176" spans="1:43" x14ac:dyDescent="0.2">
      <c r="A176" s="133" t="s">
        <v>383</v>
      </c>
      <c r="B176" s="133" t="s">
        <v>36</v>
      </c>
      <c r="C176" s="133" t="s">
        <v>36</v>
      </c>
      <c r="D176" s="133" t="s">
        <v>357</v>
      </c>
      <c r="E176" s="133" t="s">
        <v>357</v>
      </c>
      <c r="F176" s="135" t="str">
        <f t="shared" si="25"/>
        <v>1501010000</v>
      </c>
      <c r="G176" s="134" t="s">
        <v>480</v>
      </c>
      <c r="H176" s="11" t="str">
        <f t="shared" si="26"/>
        <v>REPOSIÇÕES NÃO ABATIDAS NOS PAGAMENTOS - R1501010000</v>
      </c>
      <c r="I176" s="169" t="str">
        <f t="shared" si="27"/>
        <v/>
      </c>
      <c r="J176" s="172"/>
      <c r="K176" s="167"/>
      <c r="L176" s="172"/>
      <c r="M176" s="172"/>
      <c r="N176" s="172"/>
      <c r="O176" s="172"/>
      <c r="P176" s="177" t="str">
        <f t="shared" si="28"/>
        <v/>
      </c>
      <c r="Q176" s="180"/>
      <c r="R176" s="175"/>
      <c r="S176" s="180"/>
      <c r="T176" s="180"/>
      <c r="U176" s="180"/>
      <c r="V176" s="180"/>
      <c r="W176" s="183" t="str">
        <f t="shared" si="29"/>
        <v/>
      </c>
      <c r="X176" s="186"/>
      <c r="Y176" s="181"/>
      <c r="Z176" s="186"/>
      <c r="AA176" s="186"/>
      <c r="AB176" s="186"/>
      <c r="AC176" s="186"/>
      <c r="AD176" s="218" t="str">
        <f t="shared" si="30"/>
        <v/>
      </c>
      <c r="AE176" s="204"/>
      <c r="AF176" s="198"/>
      <c r="AG176" s="204"/>
      <c r="AH176" s="204"/>
      <c r="AI176" s="204"/>
      <c r="AJ176" s="204"/>
      <c r="AK176" s="209" t="str">
        <f t="shared" si="31"/>
        <v/>
      </c>
      <c r="AL176" s="215"/>
      <c r="AM176" s="207"/>
      <c r="AN176" s="215"/>
      <c r="AO176" s="215"/>
      <c r="AP176" s="215"/>
      <c r="AQ176" s="215"/>
    </row>
    <row r="177" spans="1:43" x14ac:dyDescent="0.2">
      <c r="A177" s="133" t="s">
        <v>415</v>
      </c>
      <c r="B177" s="133" t="s">
        <v>36</v>
      </c>
      <c r="C177" s="133" t="s">
        <v>36</v>
      </c>
      <c r="D177" s="133" t="s">
        <v>357</v>
      </c>
      <c r="E177" s="133" t="s">
        <v>357</v>
      </c>
      <c r="F177" s="135" t="str">
        <f t="shared" si="25"/>
        <v>1601010000</v>
      </c>
      <c r="G177" s="134" t="s">
        <v>481</v>
      </c>
      <c r="H177" s="11" t="str">
        <f t="shared" si="26"/>
        <v>NA POSSE DO SERVIÇO - R1601010000</v>
      </c>
      <c r="I177" s="169" t="str">
        <f t="shared" si="27"/>
        <v/>
      </c>
      <c r="J177" s="172"/>
      <c r="K177" s="167"/>
      <c r="L177" s="172"/>
      <c r="M177" s="172"/>
      <c r="N177" s="172"/>
      <c r="O177" s="172"/>
      <c r="P177" s="177" t="str">
        <f t="shared" si="28"/>
        <v/>
      </c>
      <c r="Q177" s="180"/>
      <c r="R177" s="175"/>
      <c r="S177" s="180"/>
      <c r="T177" s="180"/>
      <c r="U177" s="180"/>
      <c r="V177" s="180"/>
      <c r="W177" s="183" t="str">
        <f t="shared" si="29"/>
        <v/>
      </c>
      <c r="X177" s="186"/>
      <c r="Y177" s="181"/>
      <c r="Z177" s="186"/>
      <c r="AA177" s="186"/>
      <c r="AB177" s="186"/>
      <c r="AC177" s="186"/>
      <c r="AD177" s="218" t="str">
        <f t="shared" si="30"/>
        <v/>
      </c>
      <c r="AE177" s="204"/>
      <c r="AF177" s="198"/>
      <c r="AG177" s="204"/>
      <c r="AH177" s="204"/>
      <c r="AI177" s="204"/>
      <c r="AJ177" s="204"/>
      <c r="AK177" s="209" t="str">
        <f t="shared" si="31"/>
        <v/>
      </c>
      <c r="AL177" s="215"/>
      <c r="AM177" s="207"/>
      <c r="AN177" s="215"/>
      <c r="AO177" s="215"/>
      <c r="AP177" s="215"/>
      <c r="AQ177" s="215"/>
    </row>
    <row r="178" spans="1:43" x14ac:dyDescent="0.2">
      <c r="A178" s="133" t="s">
        <v>330</v>
      </c>
      <c r="B178" s="133" t="s">
        <v>36</v>
      </c>
      <c r="C178" s="133" t="s">
        <v>37</v>
      </c>
      <c r="D178" s="133" t="s">
        <v>357</v>
      </c>
      <c r="E178" s="133" t="s">
        <v>357</v>
      </c>
      <c r="F178" s="135" t="str">
        <f t="shared" si="25"/>
        <v>1701020000</v>
      </c>
      <c r="G178" s="134" t="s">
        <v>23</v>
      </c>
      <c r="H178" s="11" t="str">
        <f t="shared" si="26"/>
        <v>IRC - R1701020000</v>
      </c>
      <c r="I178" s="169" t="str">
        <f t="shared" si="27"/>
        <v/>
      </c>
      <c r="J178" s="172"/>
      <c r="K178" s="167"/>
      <c r="L178" s="172"/>
      <c r="M178" s="172"/>
      <c r="N178" s="172"/>
      <c r="O178" s="172"/>
      <c r="P178" s="177" t="str">
        <f t="shared" si="28"/>
        <v/>
      </c>
      <c r="Q178" s="180"/>
      <c r="R178" s="175"/>
      <c r="S178" s="180"/>
      <c r="T178" s="180"/>
      <c r="U178" s="180"/>
      <c r="V178" s="180"/>
      <c r="W178" s="183" t="str">
        <f t="shared" si="29"/>
        <v/>
      </c>
      <c r="X178" s="186"/>
      <c r="Y178" s="181"/>
      <c r="Z178" s="186"/>
      <c r="AA178" s="186"/>
      <c r="AB178" s="186"/>
      <c r="AC178" s="186"/>
      <c r="AD178" s="218" t="str">
        <f t="shared" si="30"/>
        <v/>
      </c>
      <c r="AE178" s="204"/>
      <c r="AF178" s="198"/>
      <c r="AG178" s="204"/>
      <c r="AH178" s="204"/>
      <c r="AI178" s="204"/>
      <c r="AJ178" s="204"/>
      <c r="AK178" s="209" t="str">
        <f t="shared" si="31"/>
        <v/>
      </c>
      <c r="AL178" s="215"/>
      <c r="AM178" s="207"/>
      <c r="AN178" s="215"/>
      <c r="AO178" s="215"/>
      <c r="AP178" s="215"/>
      <c r="AQ178" s="215"/>
    </row>
    <row r="179" spans="1:43" x14ac:dyDescent="0.2">
      <c r="A179" s="133" t="s">
        <v>330</v>
      </c>
      <c r="B179" s="133" t="s">
        <v>36</v>
      </c>
      <c r="C179" s="133" t="s">
        <v>39</v>
      </c>
      <c r="D179" s="133" t="s">
        <v>357</v>
      </c>
      <c r="E179" s="133" t="s">
        <v>357</v>
      </c>
      <c r="F179" s="135" t="str">
        <f t="shared" si="25"/>
        <v>1701040000</v>
      </c>
      <c r="G179" s="134" t="s">
        <v>24</v>
      </c>
      <c r="H179" s="11" t="str">
        <f t="shared" si="26"/>
        <v>IRS - R1701040000</v>
      </c>
      <c r="I179" s="169" t="str">
        <f t="shared" si="27"/>
        <v/>
      </c>
      <c r="J179" s="172"/>
      <c r="K179" s="167"/>
      <c r="L179" s="172"/>
      <c r="M179" s="172"/>
      <c r="N179" s="172"/>
      <c r="O179" s="172"/>
      <c r="P179" s="177" t="str">
        <f t="shared" si="28"/>
        <v/>
      </c>
      <c r="Q179" s="180"/>
      <c r="R179" s="175"/>
      <c r="S179" s="180"/>
      <c r="T179" s="180"/>
      <c r="U179" s="180"/>
      <c r="V179" s="180"/>
      <c r="W179" s="183" t="str">
        <f t="shared" si="29"/>
        <v/>
      </c>
      <c r="X179" s="186"/>
      <c r="Y179" s="181"/>
      <c r="Z179" s="186"/>
      <c r="AA179" s="186"/>
      <c r="AB179" s="186"/>
      <c r="AC179" s="186"/>
      <c r="AD179" s="218" t="str">
        <f t="shared" si="30"/>
        <v/>
      </c>
      <c r="AE179" s="204"/>
      <c r="AF179" s="198"/>
      <c r="AG179" s="204"/>
      <c r="AH179" s="204"/>
      <c r="AI179" s="204"/>
      <c r="AJ179" s="204"/>
      <c r="AK179" s="209" t="str">
        <f t="shared" si="31"/>
        <v/>
      </c>
      <c r="AL179" s="215"/>
      <c r="AM179" s="207"/>
      <c r="AN179" s="215"/>
      <c r="AO179" s="215"/>
      <c r="AP179" s="215"/>
      <c r="AQ179" s="215"/>
    </row>
    <row r="180" spans="1:43" x14ac:dyDescent="0.2">
      <c r="A180" s="133" t="s">
        <v>330</v>
      </c>
      <c r="B180" s="133" t="s">
        <v>36</v>
      </c>
      <c r="C180" s="133" t="s">
        <v>41</v>
      </c>
      <c r="D180" s="133" t="s">
        <v>357</v>
      </c>
      <c r="E180" s="133" t="s">
        <v>357</v>
      </c>
      <c r="F180" s="135" t="str">
        <f t="shared" si="25"/>
        <v>1701060000</v>
      </c>
      <c r="G180" s="134" t="s">
        <v>368</v>
      </c>
      <c r="H180" s="11" t="str">
        <f t="shared" si="26"/>
        <v>IMPOSTO DE SELO - R1701060000</v>
      </c>
      <c r="I180" s="169" t="str">
        <f t="shared" si="27"/>
        <v/>
      </c>
      <c r="J180" s="172"/>
      <c r="K180" s="167"/>
      <c r="L180" s="172"/>
      <c r="M180" s="172"/>
      <c r="N180" s="172"/>
      <c r="O180" s="172"/>
      <c r="P180" s="177" t="str">
        <f t="shared" si="28"/>
        <v/>
      </c>
      <c r="Q180" s="180"/>
      <c r="R180" s="175"/>
      <c r="S180" s="180"/>
      <c r="T180" s="180"/>
      <c r="U180" s="180"/>
      <c r="V180" s="180"/>
      <c r="W180" s="183" t="str">
        <f t="shared" si="29"/>
        <v/>
      </c>
      <c r="X180" s="186"/>
      <c r="Y180" s="181"/>
      <c r="Z180" s="186"/>
      <c r="AA180" s="186"/>
      <c r="AB180" s="186"/>
      <c r="AC180" s="186"/>
      <c r="AD180" s="218" t="str">
        <f t="shared" si="30"/>
        <v/>
      </c>
      <c r="AE180" s="204"/>
      <c r="AF180" s="198"/>
      <c r="AG180" s="204"/>
      <c r="AH180" s="204"/>
      <c r="AI180" s="204"/>
      <c r="AJ180" s="204"/>
      <c r="AK180" s="209" t="str">
        <f t="shared" si="31"/>
        <v/>
      </c>
      <c r="AL180" s="215"/>
      <c r="AM180" s="207"/>
      <c r="AN180" s="215"/>
      <c r="AO180" s="215"/>
      <c r="AP180" s="215"/>
      <c r="AQ180" s="215"/>
    </row>
    <row r="181" spans="1:43" x14ac:dyDescent="0.2">
      <c r="A181" s="133" t="s">
        <v>330</v>
      </c>
      <c r="B181" s="133" t="s">
        <v>36</v>
      </c>
      <c r="C181" s="133" t="s">
        <v>331</v>
      </c>
      <c r="D181" s="133" t="s">
        <v>357</v>
      </c>
      <c r="E181" s="133" t="s">
        <v>357</v>
      </c>
      <c r="F181" s="135" t="str">
        <f t="shared" si="25"/>
        <v>1701980000</v>
      </c>
      <c r="G181" s="134" t="s">
        <v>524</v>
      </c>
      <c r="H181" s="11" t="str">
        <f t="shared" si="26"/>
        <v>RETENÇÃO OBRIGATÓRIO PARA AUTORIDADE TRIBUTÁRIA    - R1701980000</v>
      </c>
      <c r="I181" s="169" t="str">
        <f t="shared" si="27"/>
        <v/>
      </c>
      <c r="J181" s="172"/>
      <c r="K181" s="167"/>
      <c r="L181" s="172"/>
      <c r="M181" s="172"/>
      <c r="N181" s="172"/>
      <c r="O181" s="172"/>
      <c r="P181" s="177" t="str">
        <f t="shared" si="28"/>
        <v/>
      </c>
      <c r="Q181" s="180"/>
      <c r="R181" s="175"/>
      <c r="S181" s="180"/>
      <c r="T181" s="180"/>
      <c r="U181" s="180"/>
      <c r="V181" s="180"/>
      <c r="W181" s="183" t="str">
        <f t="shared" si="29"/>
        <v/>
      </c>
      <c r="X181" s="186"/>
      <c r="Y181" s="181"/>
      <c r="Z181" s="186"/>
      <c r="AA181" s="186"/>
      <c r="AB181" s="186"/>
      <c r="AC181" s="186"/>
      <c r="AD181" s="218" t="str">
        <f t="shared" si="30"/>
        <v/>
      </c>
      <c r="AE181" s="204"/>
      <c r="AF181" s="198"/>
      <c r="AG181" s="204"/>
      <c r="AH181" s="204"/>
      <c r="AI181" s="204"/>
      <c r="AJ181" s="204"/>
      <c r="AK181" s="209" t="str">
        <f t="shared" si="31"/>
        <v/>
      </c>
      <c r="AL181" s="215"/>
      <c r="AM181" s="207"/>
      <c r="AN181" s="215"/>
      <c r="AO181" s="215"/>
      <c r="AP181" s="215"/>
      <c r="AQ181" s="215"/>
    </row>
    <row r="182" spans="1:43" x14ac:dyDescent="0.2">
      <c r="A182" s="133" t="s">
        <v>330</v>
      </c>
      <c r="B182" s="133" t="s">
        <v>37</v>
      </c>
      <c r="C182" s="132" t="s">
        <v>36</v>
      </c>
      <c r="D182" s="133" t="s">
        <v>357</v>
      </c>
      <c r="E182" s="133" t="s">
        <v>357</v>
      </c>
      <c r="F182" s="135" t="str">
        <f t="shared" si="25"/>
        <v>1702010000</v>
      </c>
      <c r="G182" s="115" t="s">
        <v>705</v>
      </c>
      <c r="H182" s="115" t="s">
        <v>748</v>
      </c>
      <c r="I182" s="169" t="str">
        <f t="shared" si="27"/>
        <v/>
      </c>
      <c r="J182" s="172"/>
      <c r="K182" s="167"/>
      <c r="L182" s="172"/>
      <c r="M182" s="172"/>
      <c r="N182" s="172"/>
      <c r="O182" s="172"/>
      <c r="P182" s="177" t="str">
        <f t="shared" si="28"/>
        <v/>
      </c>
      <c r="Q182" s="180"/>
      <c r="R182" s="175"/>
      <c r="S182" s="180"/>
      <c r="T182" s="180"/>
      <c r="U182" s="180"/>
      <c r="V182" s="180"/>
      <c r="W182" s="183" t="str">
        <f t="shared" si="29"/>
        <v/>
      </c>
      <c r="X182" s="186"/>
      <c r="Y182" s="181"/>
      <c r="Z182" s="186"/>
      <c r="AA182" s="186"/>
      <c r="AB182" s="186"/>
      <c r="AC182" s="186"/>
      <c r="AD182" s="218" t="str">
        <f t="shared" si="30"/>
        <v/>
      </c>
      <c r="AE182" s="204"/>
      <c r="AF182" s="198"/>
      <c r="AG182" s="204"/>
      <c r="AH182" s="204"/>
      <c r="AI182" s="204"/>
      <c r="AJ182" s="204"/>
      <c r="AK182" s="209" t="str">
        <f t="shared" si="31"/>
        <v/>
      </c>
      <c r="AL182" s="215"/>
      <c r="AM182" s="207"/>
      <c r="AN182" s="215"/>
      <c r="AO182" s="215"/>
      <c r="AP182" s="215"/>
      <c r="AQ182" s="215"/>
    </row>
    <row r="183" spans="1:43" x14ac:dyDescent="0.2">
      <c r="A183" s="133" t="s">
        <v>330</v>
      </c>
      <c r="B183" s="133" t="s">
        <v>37</v>
      </c>
      <c r="C183" s="133" t="s">
        <v>42</v>
      </c>
      <c r="D183" s="133" t="s">
        <v>357</v>
      </c>
      <c r="E183" s="133" t="s">
        <v>357</v>
      </c>
      <c r="F183" s="135" t="s">
        <v>704</v>
      </c>
      <c r="G183" s="134" t="s">
        <v>526</v>
      </c>
      <c r="H183" s="11" t="s">
        <v>747</v>
      </c>
      <c r="I183" s="169" t="str">
        <f t="shared" si="27"/>
        <v/>
      </c>
      <c r="J183" s="172"/>
      <c r="K183" s="167"/>
      <c r="L183" s="172"/>
      <c r="M183" s="172"/>
      <c r="N183" s="172"/>
      <c r="O183" s="172"/>
      <c r="P183" s="177" t="str">
        <f t="shared" si="28"/>
        <v/>
      </c>
      <c r="Q183" s="180"/>
      <c r="R183" s="175"/>
      <c r="S183" s="180"/>
      <c r="T183" s="180"/>
      <c r="U183" s="180"/>
      <c r="V183" s="180"/>
      <c r="W183" s="183" t="str">
        <f t="shared" si="29"/>
        <v/>
      </c>
      <c r="X183" s="186"/>
      <c r="Y183" s="181"/>
      <c r="Z183" s="186"/>
      <c r="AA183" s="186"/>
      <c r="AB183" s="186"/>
      <c r="AC183" s="186"/>
      <c r="AD183" s="218" t="str">
        <f t="shared" si="30"/>
        <v/>
      </c>
      <c r="AE183" s="204"/>
      <c r="AF183" s="198"/>
      <c r="AG183" s="204"/>
      <c r="AH183" s="204"/>
      <c r="AI183" s="204"/>
      <c r="AJ183" s="204"/>
      <c r="AK183" s="209" t="str">
        <f t="shared" si="31"/>
        <v/>
      </c>
      <c r="AL183" s="215"/>
      <c r="AM183" s="207"/>
      <c r="AN183" s="215"/>
      <c r="AO183" s="215"/>
      <c r="AP183" s="215"/>
      <c r="AQ183" s="215"/>
    </row>
    <row r="184" spans="1:43" x14ac:dyDescent="0.2">
      <c r="A184" s="133" t="s">
        <v>330</v>
      </c>
      <c r="B184" s="133" t="s">
        <v>37</v>
      </c>
      <c r="C184" s="133" t="s">
        <v>44</v>
      </c>
      <c r="D184" s="133" t="s">
        <v>357</v>
      </c>
      <c r="E184" s="133" t="s">
        <v>357</v>
      </c>
      <c r="F184" s="135" t="s">
        <v>703</v>
      </c>
      <c r="G184" s="134" t="s">
        <v>527</v>
      </c>
      <c r="H184" s="11" t="s">
        <v>746</v>
      </c>
      <c r="I184" s="169" t="str">
        <f t="shared" si="27"/>
        <v/>
      </c>
      <c r="J184" s="172"/>
      <c r="K184" s="167"/>
      <c r="L184" s="172"/>
      <c r="M184" s="172"/>
      <c r="N184" s="172"/>
      <c r="O184" s="172"/>
      <c r="P184" s="177" t="str">
        <f t="shared" si="28"/>
        <v/>
      </c>
      <c r="Q184" s="180"/>
      <c r="R184" s="175"/>
      <c r="S184" s="180"/>
      <c r="T184" s="180"/>
      <c r="U184" s="180"/>
      <c r="V184" s="180"/>
      <c r="W184" s="183" t="str">
        <f t="shared" si="29"/>
        <v/>
      </c>
      <c r="X184" s="186"/>
      <c r="Y184" s="181"/>
      <c r="Z184" s="186"/>
      <c r="AA184" s="186"/>
      <c r="AB184" s="186"/>
      <c r="AC184" s="186"/>
      <c r="AD184" s="218" t="str">
        <f t="shared" si="30"/>
        <v/>
      </c>
      <c r="AE184" s="204"/>
      <c r="AF184" s="198"/>
      <c r="AG184" s="204"/>
      <c r="AH184" s="204"/>
      <c r="AI184" s="204"/>
      <c r="AJ184" s="204"/>
      <c r="AK184" s="209" t="str">
        <f t="shared" si="31"/>
        <v/>
      </c>
      <c r="AL184" s="215"/>
      <c r="AM184" s="207"/>
      <c r="AN184" s="215"/>
      <c r="AO184" s="215"/>
      <c r="AP184" s="215"/>
      <c r="AQ184" s="215"/>
    </row>
    <row r="185" spans="1:43" x14ac:dyDescent="0.2">
      <c r="A185" s="133" t="s">
        <v>330</v>
      </c>
      <c r="B185" s="133" t="s">
        <v>37</v>
      </c>
      <c r="C185" s="133" t="s">
        <v>291</v>
      </c>
      <c r="D185" s="133" t="s">
        <v>357</v>
      </c>
      <c r="E185" s="133" t="s">
        <v>357</v>
      </c>
      <c r="F185" s="135" t="s">
        <v>702</v>
      </c>
      <c r="G185" s="134" t="s">
        <v>25</v>
      </c>
      <c r="H185" s="11" t="s">
        <v>745</v>
      </c>
      <c r="I185" s="169" t="str">
        <f t="shared" si="27"/>
        <v/>
      </c>
      <c r="J185" s="172"/>
      <c r="K185" s="167"/>
      <c r="L185" s="172"/>
      <c r="M185" s="172"/>
      <c r="N185" s="172"/>
      <c r="O185" s="172"/>
      <c r="P185" s="177" t="str">
        <f t="shared" si="28"/>
        <v/>
      </c>
      <c r="Q185" s="180"/>
      <c r="R185" s="175"/>
      <c r="S185" s="180"/>
      <c r="T185" s="180"/>
      <c r="U185" s="180"/>
      <c r="V185" s="180"/>
      <c r="W185" s="183" t="str">
        <f t="shared" si="29"/>
        <v/>
      </c>
      <c r="X185" s="186"/>
      <c r="Y185" s="181"/>
      <c r="Z185" s="186"/>
      <c r="AA185" s="186"/>
      <c r="AB185" s="186"/>
      <c r="AC185" s="186"/>
      <c r="AD185" s="218" t="str">
        <f t="shared" si="30"/>
        <v/>
      </c>
      <c r="AE185" s="204"/>
      <c r="AF185" s="198"/>
      <c r="AG185" s="204"/>
      <c r="AH185" s="204"/>
      <c r="AI185" s="204"/>
      <c r="AJ185" s="204"/>
      <c r="AK185" s="209" t="str">
        <f t="shared" si="31"/>
        <v/>
      </c>
      <c r="AL185" s="215"/>
      <c r="AM185" s="207"/>
      <c r="AN185" s="215"/>
      <c r="AO185" s="215"/>
      <c r="AP185" s="215"/>
      <c r="AQ185" s="215"/>
    </row>
    <row r="186" spans="1:43" x14ac:dyDescent="0.2">
      <c r="A186" s="133" t="s">
        <v>330</v>
      </c>
      <c r="B186" s="133" t="s">
        <v>37</v>
      </c>
      <c r="C186" s="133" t="s">
        <v>413</v>
      </c>
      <c r="D186" s="133" t="s">
        <v>357</v>
      </c>
      <c r="E186" s="133" t="s">
        <v>357</v>
      </c>
      <c r="F186" s="135" t="s">
        <v>701</v>
      </c>
      <c r="G186" s="134" t="s">
        <v>528</v>
      </c>
      <c r="H186" s="11" t="s">
        <v>744</v>
      </c>
      <c r="I186" s="169" t="str">
        <f t="shared" si="27"/>
        <v/>
      </c>
      <c r="J186" s="172"/>
      <c r="K186" s="167"/>
      <c r="L186" s="172"/>
      <c r="M186" s="172"/>
      <c r="N186" s="172"/>
      <c r="O186" s="172"/>
      <c r="P186" s="177" t="str">
        <f t="shared" si="28"/>
        <v/>
      </c>
      <c r="Q186" s="180"/>
      <c r="R186" s="175"/>
      <c r="S186" s="180"/>
      <c r="T186" s="180"/>
      <c r="U186" s="180"/>
      <c r="V186" s="180"/>
      <c r="W186" s="183" t="str">
        <f t="shared" si="29"/>
        <v/>
      </c>
      <c r="X186" s="186"/>
      <c r="Y186" s="181"/>
      <c r="Z186" s="186"/>
      <c r="AA186" s="186"/>
      <c r="AB186" s="186"/>
      <c r="AC186" s="186"/>
      <c r="AD186" s="218" t="str">
        <f t="shared" si="30"/>
        <v/>
      </c>
      <c r="AE186" s="204"/>
      <c r="AF186" s="198"/>
      <c r="AG186" s="204"/>
      <c r="AH186" s="204"/>
      <c r="AI186" s="204"/>
      <c r="AJ186" s="204"/>
      <c r="AK186" s="209" t="str">
        <f t="shared" si="31"/>
        <v/>
      </c>
      <c r="AL186" s="215"/>
      <c r="AM186" s="207"/>
      <c r="AN186" s="215"/>
      <c r="AO186" s="215"/>
      <c r="AP186" s="215"/>
      <c r="AQ186" s="215"/>
    </row>
    <row r="187" spans="1:43" x14ac:dyDescent="0.2">
      <c r="A187" s="133" t="s">
        <v>330</v>
      </c>
      <c r="B187" s="133" t="s">
        <v>37</v>
      </c>
      <c r="C187" s="133" t="s">
        <v>383</v>
      </c>
      <c r="D187" s="133" t="s">
        <v>357</v>
      </c>
      <c r="E187" s="133" t="s">
        <v>357</v>
      </c>
      <c r="F187" s="135" t="s">
        <v>700</v>
      </c>
      <c r="G187" s="136" t="s">
        <v>529</v>
      </c>
      <c r="H187" s="11" t="s">
        <v>743</v>
      </c>
      <c r="I187" s="169" t="str">
        <f t="shared" si="27"/>
        <v/>
      </c>
      <c r="J187" s="172"/>
      <c r="K187" s="167"/>
      <c r="L187" s="172"/>
      <c r="M187" s="172"/>
      <c r="N187" s="172"/>
      <c r="O187" s="172"/>
      <c r="P187" s="177" t="str">
        <f t="shared" si="28"/>
        <v/>
      </c>
      <c r="Q187" s="180"/>
      <c r="R187" s="175"/>
      <c r="S187" s="180"/>
      <c r="T187" s="180"/>
      <c r="U187" s="180"/>
      <c r="V187" s="180"/>
      <c r="W187" s="183" t="str">
        <f t="shared" si="29"/>
        <v/>
      </c>
      <c r="X187" s="186"/>
      <c r="Y187" s="181"/>
      <c r="Z187" s="186"/>
      <c r="AA187" s="186"/>
      <c r="AB187" s="186"/>
      <c r="AC187" s="186"/>
      <c r="AD187" s="218" t="str">
        <f t="shared" si="30"/>
        <v/>
      </c>
      <c r="AE187" s="204"/>
      <c r="AF187" s="198"/>
      <c r="AG187" s="204"/>
      <c r="AH187" s="204"/>
      <c r="AI187" s="204"/>
      <c r="AJ187" s="204"/>
      <c r="AK187" s="209" t="str">
        <f t="shared" si="31"/>
        <v/>
      </c>
      <c r="AL187" s="215"/>
      <c r="AM187" s="207"/>
      <c r="AN187" s="215"/>
      <c r="AO187" s="215"/>
      <c r="AP187" s="215"/>
      <c r="AQ187" s="215"/>
    </row>
    <row r="188" spans="1:43" x14ac:dyDescent="0.2">
      <c r="A188" s="133" t="s">
        <v>330</v>
      </c>
      <c r="B188" s="133" t="s">
        <v>37</v>
      </c>
      <c r="C188" s="133" t="s">
        <v>415</v>
      </c>
      <c r="D188" s="133" t="s">
        <v>357</v>
      </c>
      <c r="E188" s="133" t="s">
        <v>357</v>
      </c>
      <c r="F188" s="135" t="s">
        <v>699</v>
      </c>
      <c r="G188" s="134" t="s">
        <v>600</v>
      </c>
      <c r="H188" s="11" t="s">
        <v>742</v>
      </c>
      <c r="I188" s="169" t="str">
        <f t="shared" si="27"/>
        <v/>
      </c>
      <c r="J188" s="172"/>
      <c r="K188" s="167"/>
      <c r="L188" s="172"/>
      <c r="M188" s="172"/>
      <c r="N188" s="172"/>
      <c r="O188" s="172"/>
      <c r="P188" s="177" t="str">
        <f t="shared" si="28"/>
        <v/>
      </c>
      <c r="Q188" s="180"/>
      <c r="R188" s="175"/>
      <c r="S188" s="180"/>
      <c r="T188" s="180"/>
      <c r="U188" s="180"/>
      <c r="V188" s="180"/>
      <c r="W188" s="183" t="str">
        <f t="shared" si="29"/>
        <v/>
      </c>
      <c r="X188" s="186"/>
      <c r="Y188" s="181"/>
      <c r="Z188" s="186"/>
      <c r="AA188" s="186"/>
      <c r="AB188" s="186"/>
      <c r="AC188" s="186"/>
      <c r="AD188" s="218" t="str">
        <f t="shared" si="30"/>
        <v/>
      </c>
      <c r="AE188" s="204"/>
      <c r="AF188" s="198"/>
      <c r="AG188" s="204"/>
      <c r="AH188" s="204"/>
      <c r="AI188" s="204"/>
      <c r="AJ188" s="204"/>
      <c r="AK188" s="209" t="str">
        <f t="shared" si="31"/>
        <v/>
      </c>
      <c r="AL188" s="215"/>
      <c r="AM188" s="207"/>
      <c r="AN188" s="215"/>
      <c r="AO188" s="215"/>
      <c r="AP188" s="215"/>
      <c r="AQ188" s="215"/>
    </row>
    <row r="189" spans="1:43" x14ac:dyDescent="0.2">
      <c r="A189" s="133" t="s">
        <v>330</v>
      </c>
      <c r="B189" s="133" t="s">
        <v>37</v>
      </c>
      <c r="C189" s="133" t="s">
        <v>330</v>
      </c>
      <c r="D189" s="133" t="s">
        <v>357</v>
      </c>
      <c r="E189" s="133" t="s">
        <v>357</v>
      </c>
      <c r="F189" s="135" t="s">
        <v>698</v>
      </c>
      <c r="G189" s="134" t="s">
        <v>531</v>
      </c>
      <c r="H189" s="11" t="s">
        <v>741</v>
      </c>
      <c r="I189" s="169" t="str">
        <f t="shared" si="27"/>
        <v/>
      </c>
      <c r="J189" s="172"/>
      <c r="K189" s="167"/>
      <c r="L189" s="172"/>
      <c r="M189" s="172"/>
      <c r="N189" s="172"/>
      <c r="O189" s="172"/>
      <c r="P189" s="177" t="str">
        <f t="shared" si="28"/>
        <v/>
      </c>
      <c r="Q189" s="180"/>
      <c r="R189" s="175"/>
      <c r="S189" s="180"/>
      <c r="T189" s="180"/>
      <c r="U189" s="180"/>
      <c r="V189" s="180"/>
      <c r="W189" s="183" t="str">
        <f t="shared" si="29"/>
        <v/>
      </c>
      <c r="X189" s="186"/>
      <c r="Y189" s="181"/>
      <c r="Z189" s="186"/>
      <c r="AA189" s="186"/>
      <c r="AB189" s="186"/>
      <c r="AC189" s="186"/>
      <c r="AD189" s="218" t="str">
        <f t="shared" si="30"/>
        <v/>
      </c>
      <c r="AE189" s="204"/>
      <c r="AF189" s="198"/>
      <c r="AG189" s="204"/>
      <c r="AH189" s="204"/>
      <c r="AI189" s="204"/>
      <c r="AJ189" s="204"/>
      <c r="AK189" s="209" t="str">
        <f t="shared" si="31"/>
        <v/>
      </c>
      <c r="AL189" s="215"/>
      <c r="AM189" s="207"/>
      <c r="AN189" s="215"/>
      <c r="AO189" s="215"/>
      <c r="AP189" s="215"/>
      <c r="AQ189" s="215"/>
    </row>
    <row r="190" spans="1:43" x14ac:dyDescent="0.2">
      <c r="A190" s="133" t="s">
        <v>330</v>
      </c>
      <c r="B190" s="133" t="s">
        <v>37</v>
      </c>
      <c r="C190" s="133" t="s">
        <v>404</v>
      </c>
      <c r="D190" s="133" t="s">
        <v>357</v>
      </c>
      <c r="E190" s="133" t="s">
        <v>357</v>
      </c>
      <c r="F190" s="135" t="s">
        <v>697</v>
      </c>
      <c r="G190" s="134" t="s">
        <v>532</v>
      </c>
      <c r="H190" s="11" t="s">
        <v>740</v>
      </c>
      <c r="I190" s="169" t="str">
        <f t="shared" si="27"/>
        <v/>
      </c>
      <c r="J190" s="172"/>
      <c r="K190" s="167"/>
      <c r="L190" s="172"/>
      <c r="M190" s="172"/>
      <c r="N190" s="172"/>
      <c r="O190" s="172"/>
      <c r="P190" s="177" t="str">
        <f t="shared" si="28"/>
        <v/>
      </c>
      <c r="Q190" s="180"/>
      <c r="R190" s="175"/>
      <c r="S190" s="180"/>
      <c r="T190" s="180"/>
      <c r="U190" s="180"/>
      <c r="V190" s="180"/>
      <c r="W190" s="183" t="str">
        <f t="shared" si="29"/>
        <v/>
      </c>
      <c r="X190" s="186"/>
      <c r="Y190" s="181"/>
      <c r="Z190" s="186"/>
      <c r="AA190" s="186"/>
      <c r="AB190" s="186"/>
      <c r="AC190" s="186"/>
      <c r="AD190" s="218" t="str">
        <f t="shared" si="30"/>
        <v/>
      </c>
      <c r="AE190" s="204"/>
      <c r="AF190" s="198"/>
      <c r="AG190" s="204"/>
      <c r="AH190" s="204"/>
      <c r="AI190" s="204"/>
      <c r="AJ190" s="204"/>
      <c r="AK190" s="209" t="str">
        <f t="shared" si="31"/>
        <v/>
      </c>
      <c r="AL190" s="215"/>
      <c r="AM190" s="207"/>
      <c r="AN190" s="215"/>
      <c r="AO190" s="215"/>
      <c r="AP190" s="215"/>
      <c r="AQ190" s="215"/>
    </row>
    <row r="191" spans="1:43" x14ac:dyDescent="0.2">
      <c r="A191" s="133" t="s">
        <v>330</v>
      </c>
      <c r="B191" s="133" t="s">
        <v>37</v>
      </c>
      <c r="C191" s="133" t="s">
        <v>406</v>
      </c>
      <c r="D191" s="133" t="s">
        <v>357</v>
      </c>
      <c r="E191" s="133" t="s">
        <v>357</v>
      </c>
      <c r="F191" s="135" t="s">
        <v>696</v>
      </c>
      <c r="G191" s="134" t="s">
        <v>533</v>
      </c>
      <c r="H191" s="11" t="s">
        <v>739</v>
      </c>
      <c r="I191" s="169" t="str">
        <f t="shared" si="27"/>
        <v/>
      </c>
      <c r="J191" s="172"/>
      <c r="K191" s="167"/>
      <c r="L191" s="172"/>
      <c r="M191" s="172"/>
      <c r="N191" s="172"/>
      <c r="O191" s="172"/>
      <c r="P191" s="177" t="str">
        <f t="shared" si="28"/>
        <v/>
      </c>
      <c r="Q191" s="180"/>
      <c r="R191" s="175"/>
      <c r="S191" s="180"/>
      <c r="T191" s="180"/>
      <c r="U191" s="180"/>
      <c r="V191" s="180"/>
      <c r="W191" s="183" t="str">
        <f t="shared" si="29"/>
        <v/>
      </c>
      <c r="X191" s="186"/>
      <c r="Y191" s="181"/>
      <c r="Z191" s="186"/>
      <c r="AA191" s="186"/>
      <c r="AB191" s="186"/>
      <c r="AC191" s="186"/>
      <c r="AD191" s="218" t="str">
        <f t="shared" si="30"/>
        <v/>
      </c>
      <c r="AE191" s="204"/>
      <c r="AF191" s="198"/>
      <c r="AG191" s="204"/>
      <c r="AH191" s="204"/>
      <c r="AI191" s="204"/>
      <c r="AJ191" s="204"/>
      <c r="AK191" s="209" t="str">
        <f t="shared" si="31"/>
        <v/>
      </c>
      <c r="AL191" s="215"/>
      <c r="AM191" s="207"/>
      <c r="AN191" s="215"/>
      <c r="AO191" s="215"/>
      <c r="AP191" s="215"/>
      <c r="AQ191" s="215"/>
    </row>
    <row r="192" spans="1:43" x14ac:dyDescent="0.2">
      <c r="A192" s="133" t="s">
        <v>330</v>
      </c>
      <c r="B192" s="133" t="s">
        <v>37</v>
      </c>
      <c r="C192" s="133" t="s">
        <v>387</v>
      </c>
      <c r="D192" s="133" t="s">
        <v>357</v>
      </c>
      <c r="E192" s="133" t="s">
        <v>357</v>
      </c>
      <c r="F192" s="135" t="s">
        <v>695</v>
      </c>
      <c r="G192" s="134" t="s">
        <v>534</v>
      </c>
      <c r="H192" s="11" t="s">
        <v>738</v>
      </c>
      <c r="I192" s="169" t="str">
        <f t="shared" si="27"/>
        <v/>
      </c>
      <c r="J192" s="172"/>
      <c r="K192" s="167"/>
      <c r="L192" s="172"/>
      <c r="M192" s="172"/>
      <c r="N192" s="172"/>
      <c r="O192" s="172"/>
      <c r="P192" s="177" t="str">
        <f t="shared" si="28"/>
        <v/>
      </c>
      <c r="Q192" s="180"/>
      <c r="R192" s="175"/>
      <c r="S192" s="180"/>
      <c r="T192" s="180"/>
      <c r="U192" s="180"/>
      <c r="V192" s="180"/>
      <c r="W192" s="183" t="str">
        <f t="shared" si="29"/>
        <v/>
      </c>
      <c r="X192" s="186"/>
      <c r="Y192" s="181"/>
      <c r="Z192" s="186"/>
      <c r="AA192" s="186"/>
      <c r="AB192" s="186"/>
      <c r="AC192" s="186"/>
      <c r="AD192" s="218" t="str">
        <f t="shared" si="30"/>
        <v/>
      </c>
      <c r="AE192" s="204"/>
      <c r="AF192" s="198"/>
      <c r="AG192" s="204"/>
      <c r="AH192" s="204"/>
      <c r="AI192" s="204"/>
      <c r="AJ192" s="204"/>
      <c r="AK192" s="209" t="str">
        <f t="shared" si="31"/>
        <v/>
      </c>
      <c r="AL192" s="215"/>
      <c r="AM192" s="207"/>
      <c r="AN192" s="215"/>
      <c r="AO192" s="215"/>
      <c r="AP192" s="215"/>
      <c r="AQ192" s="215"/>
    </row>
    <row r="193" spans="1:43" x14ac:dyDescent="0.2">
      <c r="A193" s="133" t="s">
        <v>330</v>
      </c>
      <c r="B193" s="133" t="s">
        <v>37</v>
      </c>
      <c r="C193" s="133" t="s">
        <v>535</v>
      </c>
      <c r="D193" s="133" t="s">
        <v>357</v>
      </c>
      <c r="E193" s="133" t="s">
        <v>357</v>
      </c>
      <c r="F193" s="135" t="s">
        <v>694</v>
      </c>
      <c r="G193" s="134" t="s">
        <v>536</v>
      </c>
      <c r="H193" s="11" t="s">
        <v>737</v>
      </c>
      <c r="I193" s="169" t="str">
        <f t="shared" si="27"/>
        <v/>
      </c>
      <c r="J193" s="172"/>
      <c r="K193" s="167"/>
      <c r="L193" s="172"/>
      <c r="M193" s="172"/>
      <c r="N193" s="172"/>
      <c r="O193" s="172"/>
      <c r="P193" s="177" t="str">
        <f t="shared" si="28"/>
        <v/>
      </c>
      <c r="Q193" s="180"/>
      <c r="R193" s="175"/>
      <c r="S193" s="180"/>
      <c r="T193" s="180"/>
      <c r="U193" s="180"/>
      <c r="V193" s="180"/>
      <c r="W193" s="183" t="str">
        <f t="shared" si="29"/>
        <v/>
      </c>
      <c r="X193" s="186"/>
      <c r="Y193" s="181"/>
      <c r="Z193" s="186"/>
      <c r="AA193" s="186"/>
      <c r="AB193" s="186"/>
      <c r="AC193" s="186"/>
      <c r="AD193" s="218" t="str">
        <f t="shared" si="30"/>
        <v/>
      </c>
      <c r="AE193" s="204"/>
      <c r="AF193" s="198"/>
      <c r="AG193" s="204"/>
      <c r="AH193" s="204"/>
      <c r="AI193" s="204"/>
      <c r="AJ193" s="204"/>
      <c r="AK193" s="209" t="str">
        <f t="shared" si="31"/>
        <v/>
      </c>
      <c r="AL193" s="215"/>
      <c r="AM193" s="207"/>
      <c r="AN193" s="215"/>
      <c r="AO193" s="215"/>
      <c r="AP193" s="215"/>
      <c r="AQ193" s="215"/>
    </row>
    <row r="194" spans="1:43" x14ac:dyDescent="0.2">
      <c r="A194" s="133" t="s">
        <v>330</v>
      </c>
      <c r="B194" s="133" t="s">
        <v>37</v>
      </c>
      <c r="C194" s="133" t="s">
        <v>537</v>
      </c>
      <c r="D194" s="133" t="s">
        <v>357</v>
      </c>
      <c r="E194" s="133" t="s">
        <v>357</v>
      </c>
      <c r="F194" s="135" t="s">
        <v>693</v>
      </c>
      <c r="G194" s="134" t="s">
        <v>538</v>
      </c>
      <c r="H194" s="11" t="s">
        <v>736</v>
      </c>
      <c r="I194" s="169" t="str">
        <f t="shared" si="27"/>
        <v/>
      </c>
      <c r="J194" s="172"/>
      <c r="K194" s="167"/>
      <c r="L194" s="172"/>
      <c r="M194" s="172"/>
      <c r="N194" s="172"/>
      <c r="O194" s="172"/>
      <c r="P194" s="177" t="str">
        <f t="shared" si="28"/>
        <v/>
      </c>
      <c r="Q194" s="180"/>
      <c r="R194" s="175"/>
      <c r="S194" s="180"/>
      <c r="T194" s="180"/>
      <c r="U194" s="180"/>
      <c r="V194" s="180"/>
      <c r="W194" s="183" t="str">
        <f t="shared" si="29"/>
        <v/>
      </c>
      <c r="X194" s="186"/>
      <c r="Y194" s="181"/>
      <c r="Z194" s="186"/>
      <c r="AA194" s="186"/>
      <c r="AB194" s="186"/>
      <c r="AC194" s="186"/>
      <c r="AD194" s="218" t="str">
        <f t="shared" si="30"/>
        <v/>
      </c>
      <c r="AE194" s="204"/>
      <c r="AF194" s="198"/>
      <c r="AG194" s="204"/>
      <c r="AH194" s="204"/>
      <c r="AI194" s="204"/>
      <c r="AJ194" s="204"/>
      <c r="AK194" s="209" t="str">
        <f t="shared" si="31"/>
        <v/>
      </c>
      <c r="AL194" s="215"/>
      <c r="AM194" s="207"/>
      <c r="AN194" s="215"/>
      <c r="AO194" s="215"/>
      <c r="AP194" s="215"/>
      <c r="AQ194" s="215"/>
    </row>
    <row r="195" spans="1:43" x14ac:dyDescent="0.2">
      <c r="A195" s="133" t="s">
        <v>330</v>
      </c>
      <c r="B195" s="133" t="s">
        <v>37</v>
      </c>
      <c r="C195" s="133" t="s">
        <v>539</v>
      </c>
      <c r="D195" s="133" t="s">
        <v>357</v>
      </c>
      <c r="E195" s="133" t="s">
        <v>357</v>
      </c>
      <c r="F195" s="135" t="s">
        <v>692</v>
      </c>
      <c r="G195" s="136" t="s">
        <v>540</v>
      </c>
      <c r="H195" s="11" t="s">
        <v>735</v>
      </c>
      <c r="I195" s="169" t="str">
        <f t="shared" ref="I195:I224" si="32">IF($C195="00","",IF($B195="00","",IF($A195=$K$3,ROW($A195),"")))</f>
        <v/>
      </c>
      <c r="J195" s="172"/>
      <c r="K195" s="167"/>
      <c r="L195" s="172"/>
      <c r="M195" s="172"/>
      <c r="N195" s="172"/>
      <c r="O195" s="172"/>
      <c r="P195" s="177" t="str">
        <f t="shared" ref="P195:P224" si="33">IF($C195="00","",IF($B195="00","",IF($A195=$R$3,ROW($A195),"")))</f>
        <v/>
      </c>
      <c r="Q195" s="180"/>
      <c r="R195" s="175"/>
      <c r="S195" s="180"/>
      <c r="T195" s="180"/>
      <c r="U195" s="180"/>
      <c r="V195" s="180"/>
      <c r="W195" s="183" t="str">
        <f t="shared" ref="W195:W224" si="34">IF($C195="00","",IF($B195="00","",IF($A195=$Y$3,ROW($A195),"")))</f>
        <v/>
      </c>
      <c r="X195" s="186"/>
      <c r="Y195" s="181"/>
      <c r="Z195" s="186"/>
      <c r="AA195" s="186"/>
      <c r="AB195" s="186"/>
      <c r="AC195" s="186"/>
      <c r="AD195" s="218" t="str">
        <f t="shared" ref="AD195:AD224" si="35">IF($C195="00","",IF($B195="00","",IF($A195=$AF$3,ROW($A195),"")))</f>
        <v/>
      </c>
      <c r="AE195" s="204"/>
      <c r="AF195" s="198"/>
      <c r="AG195" s="204"/>
      <c r="AH195" s="204"/>
      <c r="AI195" s="204"/>
      <c r="AJ195" s="204"/>
      <c r="AK195" s="209" t="str">
        <f t="shared" ref="AK195:AK224" si="36">IF($C195="00","",IF($B195="00","",IF($A195=$AM$3,ROW($A195),"")))</f>
        <v/>
      </c>
      <c r="AL195" s="215"/>
      <c r="AM195" s="207"/>
      <c r="AN195" s="215"/>
      <c r="AO195" s="215"/>
      <c r="AP195" s="215"/>
      <c r="AQ195" s="215"/>
    </row>
    <row r="196" spans="1:43" x14ac:dyDescent="0.2">
      <c r="A196" s="133" t="s">
        <v>330</v>
      </c>
      <c r="B196" s="133" t="s">
        <v>37</v>
      </c>
      <c r="C196" s="133" t="s">
        <v>541</v>
      </c>
      <c r="D196" s="133" t="s">
        <v>357</v>
      </c>
      <c r="E196" s="133" t="s">
        <v>357</v>
      </c>
      <c r="F196" s="135" t="s">
        <v>691</v>
      </c>
      <c r="G196" s="134" t="s">
        <v>599</v>
      </c>
      <c r="H196" s="11" t="s">
        <v>734</v>
      </c>
      <c r="I196" s="169" t="str">
        <f t="shared" si="32"/>
        <v/>
      </c>
      <c r="J196" s="172"/>
      <c r="K196" s="167"/>
      <c r="L196" s="172"/>
      <c r="M196" s="172"/>
      <c r="N196" s="172"/>
      <c r="O196" s="172"/>
      <c r="P196" s="177" t="str">
        <f t="shared" si="33"/>
        <v/>
      </c>
      <c r="Q196" s="180"/>
      <c r="R196" s="175"/>
      <c r="S196" s="180"/>
      <c r="T196" s="180"/>
      <c r="U196" s="180"/>
      <c r="V196" s="180"/>
      <c r="W196" s="183" t="str">
        <f t="shared" si="34"/>
        <v/>
      </c>
      <c r="X196" s="186"/>
      <c r="Y196" s="181"/>
      <c r="Z196" s="186"/>
      <c r="AA196" s="186"/>
      <c r="AB196" s="186"/>
      <c r="AC196" s="186"/>
      <c r="AD196" s="218" t="str">
        <f t="shared" si="35"/>
        <v/>
      </c>
      <c r="AE196" s="204"/>
      <c r="AF196" s="198"/>
      <c r="AG196" s="204"/>
      <c r="AH196" s="204"/>
      <c r="AI196" s="204"/>
      <c r="AJ196" s="204"/>
      <c r="AK196" s="209" t="str">
        <f t="shared" si="36"/>
        <v/>
      </c>
      <c r="AL196" s="215"/>
      <c r="AM196" s="207"/>
      <c r="AN196" s="215"/>
      <c r="AO196" s="215"/>
      <c r="AP196" s="215"/>
      <c r="AQ196" s="215"/>
    </row>
    <row r="197" spans="1:43" x14ac:dyDescent="0.2">
      <c r="A197" s="133" t="s">
        <v>330</v>
      </c>
      <c r="B197" s="133" t="s">
        <v>37</v>
      </c>
      <c r="C197" s="133" t="s">
        <v>543</v>
      </c>
      <c r="D197" s="133" t="s">
        <v>357</v>
      </c>
      <c r="E197" s="133" t="s">
        <v>357</v>
      </c>
      <c r="F197" s="135" t="s">
        <v>690</v>
      </c>
      <c r="G197" s="134" t="s">
        <v>544</v>
      </c>
      <c r="H197" s="11" t="s">
        <v>733</v>
      </c>
      <c r="I197" s="169" t="str">
        <f t="shared" si="32"/>
        <v/>
      </c>
      <c r="J197" s="172"/>
      <c r="K197" s="167"/>
      <c r="L197" s="172"/>
      <c r="M197" s="172"/>
      <c r="N197" s="172"/>
      <c r="O197" s="172"/>
      <c r="P197" s="177" t="str">
        <f t="shared" si="33"/>
        <v/>
      </c>
      <c r="Q197" s="180"/>
      <c r="R197" s="175"/>
      <c r="S197" s="180"/>
      <c r="T197" s="180"/>
      <c r="U197" s="180"/>
      <c r="V197" s="180"/>
      <c r="W197" s="183" t="str">
        <f t="shared" si="34"/>
        <v/>
      </c>
      <c r="X197" s="186"/>
      <c r="Y197" s="181"/>
      <c r="Z197" s="186"/>
      <c r="AA197" s="186"/>
      <c r="AB197" s="186"/>
      <c r="AC197" s="186"/>
      <c r="AD197" s="218" t="str">
        <f t="shared" si="35"/>
        <v/>
      </c>
      <c r="AE197" s="204"/>
      <c r="AF197" s="198"/>
      <c r="AG197" s="204"/>
      <c r="AH197" s="204"/>
      <c r="AI197" s="204"/>
      <c r="AJ197" s="204"/>
      <c r="AK197" s="209" t="str">
        <f t="shared" si="36"/>
        <v/>
      </c>
      <c r="AL197" s="215"/>
      <c r="AM197" s="207"/>
      <c r="AN197" s="215"/>
      <c r="AO197" s="215"/>
      <c r="AP197" s="215"/>
      <c r="AQ197" s="215"/>
    </row>
    <row r="198" spans="1:43" x14ac:dyDescent="0.2">
      <c r="A198" s="133" t="s">
        <v>330</v>
      </c>
      <c r="B198" s="133" t="s">
        <v>37</v>
      </c>
      <c r="C198" s="133" t="s">
        <v>545</v>
      </c>
      <c r="D198" s="133" t="s">
        <v>357</v>
      </c>
      <c r="E198" s="133" t="s">
        <v>357</v>
      </c>
      <c r="F198" s="135" t="s">
        <v>689</v>
      </c>
      <c r="G198" s="136" t="s">
        <v>546</v>
      </c>
      <c r="H198" s="11" t="s">
        <v>732</v>
      </c>
      <c r="I198" s="169" t="str">
        <f t="shared" si="32"/>
        <v/>
      </c>
      <c r="J198" s="172"/>
      <c r="K198" s="167"/>
      <c r="L198" s="172"/>
      <c r="M198" s="172"/>
      <c r="N198" s="172"/>
      <c r="O198" s="172"/>
      <c r="P198" s="177" t="str">
        <f t="shared" si="33"/>
        <v/>
      </c>
      <c r="Q198" s="180"/>
      <c r="R198" s="175"/>
      <c r="S198" s="180"/>
      <c r="T198" s="180"/>
      <c r="U198" s="180"/>
      <c r="V198" s="180"/>
      <c r="W198" s="183" t="str">
        <f t="shared" si="34"/>
        <v/>
      </c>
      <c r="X198" s="186"/>
      <c r="Y198" s="181"/>
      <c r="Z198" s="186"/>
      <c r="AA198" s="186"/>
      <c r="AB198" s="186"/>
      <c r="AC198" s="186"/>
      <c r="AD198" s="218" t="str">
        <f t="shared" si="35"/>
        <v/>
      </c>
      <c r="AE198" s="204"/>
      <c r="AF198" s="198"/>
      <c r="AG198" s="204"/>
      <c r="AH198" s="204"/>
      <c r="AI198" s="204"/>
      <c r="AJ198" s="204"/>
      <c r="AK198" s="209" t="str">
        <f t="shared" si="36"/>
        <v/>
      </c>
      <c r="AL198" s="215"/>
      <c r="AM198" s="207"/>
      <c r="AN198" s="215"/>
      <c r="AO198" s="215"/>
      <c r="AP198" s="215"/>
      <c r="AQ198" s="215"/>
    </row>
    <row r="199" spans="1:43" x14ac:dyDescent="0.2">
      <c r="A199" s="133" t="s">
        <v>330</v>
      </c>
      <c r="B199" s="133" t="s">
        <v>37</v>
      </c>
      <c r="C199" s="133" t="s">
        <v>547</v>
      </c>
      <c r="D199" s="133" t="s">
        <v>357</v>
      </c>
      <c r="E199" s="133" t="s">
        <v>357</v>
      </c>
      <c r="F199" s="135" t="s">
        <v>688</v>
      </c>
      <c r="G199" s="136" t="s">
        <v>598</v>
      </c>
      <c r="H199" s="11" t="s">
        <v>731</v>
      </c>
      <c r="I199" s="169" t="str">
        <f t="shared" si="32"/>
        <v/>
      </c>
      <c r="J199" s="172"/>
      <c r="K199" s="167"/>
      <c r="L199" s="172"/>
      <c r="M199" s="172"/>
      <c r="N199" s="172"/>
      <c r="O199" s="172"/>
      <c r="P199" s="177" t="str">
        <f t="shared" si="33"/>
        <v/>
      </c>
      <c r="Q199" s="180"/>
      <c r="R199" s="175"/>
      <c r="S199" s="180"/>
      <c r="T199" s="180"/>
      <c r="U199" s="180"/>
      <c r="V199" s="180"/>
      <c r="W199" s="183" t="str">
        <f t="shared" si="34"/>
        <v/>
      </c>
      <c r="X199" s="186"/>
      <c r="Y199" s="181"/>
      <c r="Z199" s="186"/>
      <c r="AA199" s="186"/>
      <c r="AB199" s="186"/>
      <c r="AC199" s="186"/>
      <c r="AD199" s="218" t="str">
        <f t="shared" si="35"/>
        <v/>
      </c>
      <c r="AE199" s="204"/>
      <c r="AF199" s="198"/>
      <c r="AG199" s="204"/>
      <c r="AH199" s="204"/>
      <c r="AI199" s="204"/>
      <c r="AJ199" s="204"/>
      <c r="AK199" s="209" t="str">
        <f t="shared" si="36"/>
        <v/>
      </c>
      <c r="AL199" s="215"/>
      <c r="AM199" s="207"/>
      <c r="AN199" s="215"/>
      <c r="AO199" s="215"/>
      <c r="AP199" s="215"/>
      <c r="AQ199" s="215"/>
    </row>
    <row r="200" spans="1:43" x14ac:dyDescent="0.2">
      <c r="A200" s="133" t="s">
        <v>330</v>
      </c>
      <c r="B200" s="133" t="s">
        <v>37</v>
      </c>
      <c r="C200" s="133" t="s">
        <v>549</v>
      </c>
      <c r="D200" s="133" t="s">
        <v>357</v>
      </c>
      <c r="E200" s="133" t="s">
        <v>357</v>
      </c>
      <c r="F200" s="135" t="s">
        <v>687</v>
      </c>
      <c r="G200" s="134" t="s">
        <v>596</v>
      </c>
      <c r="H200" s="11" t="s">
        <v>730</v>
      </c>
      <c r="I200" s="169" t="str">
        <f t="shared" si="32"/>
        <v/>
      </c>
      <c r="J200" s="172"/>
      <c r="K200" s="167"/>
      <c r="L200" s="172"/>
      <c r="M200" s="172"/>
      <c r="N200" s="172"/>
      <c r="O200" s="172"/>
      <c r="P200" s="177" t="str">
        <f t="shared" si="33"/>
        <v/>
      </c>
      <c r="Q200" s="180"/>
      <c r="R200" s="175"/>
      <c r="S200" s="180"/>
      <c r="T200" s="180"/>
      <c r="U200" s="180"/>
      <c r="V200" s="180"/>
      <c r="W200" s="183" t="str">
        <f t="shared" si="34"/>
        <v/>
      </c>
      <c r="X200" s="186"/>
      <c r="Y200" s="181"/>
      <c r="Z200" s="186"/>
      <c r="AA200" s="186"/>
      <c r="AB200" s="186"/>
      <c r="AC200" s="186"/>
      <c r="AD200" s="218" t="str">
        <f t="shared" si="35"/>
        <v/>
      </c>
      <c r="AE200" s="204"/>
      <c r="AF200" s="198"/>
      <c r="AG200" s="204"/>
      <c r="AH200" s="204"/>
      <c r="AI200" s="204"/>
      <c r="AJ200" s="204"/>
      <c r="AK200" s="209" t="str">
        <f t="shared" si="36"/>
        <v/>
      </c>
      <c r="AL200" s="215"/>
      <c r="AM200" s="207"/>
      <c r="AN200" s="215"/>
      <c r="AO200" s="215"/>
      <c r="AP200" s="215"/>
      <c r="AQ200" s="215"/>
    </row>
    <row r="201" spans="1:43" x14ac:dyDescent="0.2">
      <c r="A201" s="133" t="s">
        <v>330</v>
      </c>
      <c r="B201" s="133" t="s">
        <v>37</v>
      </c>
      <c r="C201" s="133" t="s">
        <v>551</v>
      </c>
      <c r="D201" s="133" t="s">
        <v>357</v>
      </c>
      <c r="E201" s="133" t="s">
        <v>357</v>
      </c>
      <c r="F201" s="135" t="s">
        <v>686</v>
      </c>
      <c r="G201" s="134" t="s">
        <v>552</v>
      </c>
      <c r="H201" s="11" t="s">
        <v>729</v>
      </c>
      <c r="I201" s="169" t="str">
        <f t="shared" si="32"/>
        <v/>
      </c>
      <c r="J201" s="172"/>
      <c r="K201" s="167"/>
      <c r="L201" s="172"/>
      <c r="M201" s="172"/>
      <c r="N201" s="172"/>
      <c r="O201" s="172"/>
      <c r="P201" s="177" t="str">
        <f t="shared" si="33"/>
        <v/>
      </c>
      <c r="Q201" s="180"/>
      <c r="R201" s="175"/>
      <c r="S201" s="180"/>
      <c r="T201" s="180"/>
      <c r="U201" s="180"/>
      <c r="V201" s="180"/>
      <c r="W201" s="183" t="str">
        <f t="shared" si="34"/>
        <v/>
      </c>
      <c r="X201" s="186"/>
      <c r="Y201" s="181"/>
      <c r="Z201" s="186"/>
      <c r="AA201" s="186"/>
      <c r="AB201" s="186"/>
      <c r="AC201" s="186"/>
      <c r="AD201" s="218" t="str">
        <f t="shared" si="35"/>
        <v/>
      </c>
      <c r="AE201" s="204"/>
      <c r="AF201" s="198"/>
      <c r="AG201" s="204"/>
      <c r="AH201" s="204"/>
      <c r="AI201" s="204"/>
      <c r="AJ201" s="204"/>
      <c r="AK201" s="209" t="str">
        <f t="shared" si="36"/>
        <v/>
      </c>
      <c r="AL201" s="215"/>
      <c r="AM201" s="207"/>
      <c r="AN201" s="215"/>
      <c r="AO201" s="215"/>
      <c r="AP201" s="215"/>
      <c r="AQ201" s="215"/>
    </row>
    <row r="202" spans="1:43" x14ac:dyDescent="0.2">
      <c r="A202" s="133" t="s">
        <v>330</v>
      </c>
      <c r="B202" s="133" t="s">
        <v>37</v>
      </c>
      <c r="C202" s="133" t="s">
        <v>553</v>
      </c>
      <c r="D202" s="133" t="s">
        <v>357</v>
      </c>
      <c r="E202" s="133" t="s">
        <v>357</v>
      </c>
      <c r="F202" s="135" t="s">
        <v>685</v>
      </c>
      <c r="G202" s="136" t="s">
        <v>554</v>
      </c>
      <c r="H202" s="11" t="s">
        <v>728</v>
      </c>
      <c r="I202" s="169" t="str">
        <f t="shared" si="32"/>
        <v/>
      </c>
      <c r="J202" s="172"/>
      <c r="K202" s="167"/>
      <c r="L202" s="172"/>
      <c r="M202" s="172"/>
      <c r="N202" s="172"/>
      <c r="O202" s="172"/>
      <c r="P202" s="177" t="str">
        <f t="shared" si="33"/>
        <v/>
      </c>
      <c r="Q202" s="180"/>
      <c r="R202" s="175"/>
      <c r="S202" s="180"/>
      <c r="T202" s="180"/>
      <c r="U202" s="180"/>
      <c r="V202" s="180"/>
      <c r="W202" s="183" t="str">
        <f t="shared" si="34"/>
        <v/>
      </c>
      <c r="X202" s="186"/>
      <c r="Y202" s="181"/>
      <c r="Z202" s="186"/>
      <c r="AA202" s="186"/>
      <c r="AB202" s="186"/>
      <c r="AC202" s="186"/>
      <c r="AD202" s="218" t="str">
        <f t="shared" si="35"/>
        <v/>
      </c>
      <c r="AE202" s="204"/>
      <c r="AF202" s="198"/>
      <c r="AG202" s="204"/>
      <c r="AH202" s="204"/>
      <c r="AI202" s="204"/>
      <c r="AJ202" s="204"/>
      <c r="AK202" s="209" t="str">
        <f t="shared" si="36"/>
        <v/>
      </c>
      <c r="AL202" s="215"/>
      <c r="AM202" s="207"/>
      <c r="AN202" s="215"/>
      <c r="AO202" s="215"/>
      <c r="AP202" s="215"/>
      <c r="AQ202" s="215"/>
    </row>
    <row r="203" spans="1:43" x14ac:dyDescent="0.2">
      <c r="A203" s="133" t="s">
        <v>330</v>
      </c>
      <c r="B203" s="133" t="s">
        <v>37</v>
      </c>
      <c r="C203" s="133" t="s">
        <v>555</v>
      </c>
      <c r="D203" s="133" t="s">
        <v>357</v>
      </c>
      <c r="E203" s="133" t="s">
        <v>357</v>
      </c>
      <c r="F203" s="135" t="s">
        <v>684</v>
      </c>
      <c r="G203" s="134" t="s">
        <v>597</v>
      </c>
      <c r="H203" s="11" t="s">
        <v>727</v>
      </c>
      <c r="I203" s="169" t="str">
        <f t="shared" si="32"/>
        <v/>
      </c>
      <c r="J203" s="172"/>
      <c r="K203" s="167"/>
      <c r="L203" s="172"/>
      <c r="M203" s="172"/>
      <c r="N203" s="172"/>
      <c r="O203" s="172"/>
      <c r="P203" s="177" t="str">
        <f t="shared" si="33"/>
        <v/>
      </c>
      <c r="Q203" s="180"/>
      <c r="R203" s="175"/>
      <c r="S203" s="180"/>
      <c r="T203" s="180"/>
      <c r="U203" s="180"/>
      <c r="V203" s="180"/>
      <c r="W203" s="183" t="str">
        <f t="shared" si="34"/>
        <v/>
      </c>
      <c r="X203" s="186"/>
      <c r="Y203" s="181"/>
      <c r="Z203" s="186"/>
      <c r="AA203" s="186"/>
      <c r="AB203" s="186"/>
      <c r="AC203" s="186"/>
      <c r="AD203" s="218" t="str">
        <f t="shared" si="35"/>
        <v/>
      </c>
      <c r="AE203" s="204"/>
      <c r="AF203" s="198"/>
      <c r="AG203" s="204"/>
      <c r="AH203" s="204"/>
      <c r="AI203" s="204"/>
      <c r="AJ203" s="204"/>
      <c r="AK203" s="209" t="str">
        <f t="shared" si="36"/>
        <v/>
      </c>
      <c r="AL203" s="215"/>
      <c r="AM203" s="207"/>
      <c r="AN203" s="215"/>
      <c r="AO203" s="215"/>
      <c r="AP203" s="215"/>
      <c r="AQ203" s="215"/>
    </row>
    <row r="204" spans="1:43" x14ac:dyDescent="0.2">
      <c r="A204" s="133" t="s">
        <v>330</v>
      </c>
      <c r="B204" s="133" t="s">
        <v>37</v>
      </c>
      <c r="C204" s="133" t="s">
        <v>557</v>
      </c>
      <c r="D204" s="133" t="s">
        <v>357</v>
      </c>
      <c r="E204" s="133" t="s">
        <v>357</v>
      </c>
      <c r="F204" s="135" t="s">
        <v>683</v>
      </c>
      <c r="G204" s="134" t="s">
        <v>558</v>
      </c>
      <c r="H204" s="11" t="s">
        <v>726</v>
      </c>
      <c r="I204" s="169" t="str">
        <f t="shared" si="32"/>
        <v/>
      </c>
      <c r="J204" s="172"/>
      <c r="K204" s="167"/>
      <c r="L204" s="172"/>
      <c r="M204" s="172"/>
      <c r="N204" s="172"/>
      <c r="O204" s="172"/>
      <c r="P204" s="177" t="str">
        <f t="shared" si="33"/>
        <v/>
      </c>
      <c r="Q204" s="180"/>
      <c r="R204" s="175"/>
      <c r="S204" s="180"/>
      <c r="T204" s="180"/>
      <c r="U204" s="180"/>
      <c r="V204" s="180"/>
      <c r="W204" s="183" t="str">
        <f t="shared" si="34"/>
        <v/>
      </c>
      <c r="X204" s="186"/>
      <c r="Y204" s="181"/>
      <c r="Z204" s="186"/>
      <c r="AA204" s="186"/>
      <c r="AB204" s="186"/>
      <c r="AC204" s="186"/>
      <c r="AD204" s="218" t="str">
        <f t="shared" si="35"/>
        <v/>
      </c>
      <c r="AE204" s="204"/>
      <c r="AF204" s="198"/>
      <c r="AG204" s="204"/>
      <c r="AH204" s="204"/>
      <c r="AI204" s="204"/>
      <c r="AJ204" s="204"/>
      <c r="AK204" s="209" t="str">
        <f t="shared" si="36"/>
        <v/>
      </c>
      <c r="AL204" s="215"/>
      <c r="AM204" s="207"/>
      <c r="AN204" s="215"/>
      <c r="AO204" s="215"/>
      <c r="AP204" s="215"/>
      <c r="AQ204" s="215"/>
    </row>
    <row r="205" spans="1:43" x14ac:dyDescent="0.2">
      <c r="A205" s="133" t="s">
        <v>330</v>
      </c>
      <c r="B205" s="133" t="s">
        <v>37</v>
      </c>
      <c r="C205" s="133" t="s">
        <v>559</v>
      </c>
      <c r="D205" s="133" t="s">
        <v>357</v>
      </c>
      <c r="E205" s="133" t="s">
        <v>357</v>
      </c>
      <c r="F205" s="135" t="s">
        <v>682</v>
      </c>
      <c r="G205" s="134" t="s">
        <v>560</v>
      </c>
      <c r="H205" s="11" t="s">
        <v>725</v>
      </c>
      <c r="I205" s="169" t="str">
        <f t="shared" si="32"/>
        <v/>
      </c>
      <c r="J205" s="172"/>
      <c r="K205" s="167"/>
      <c r="L205" s="172"/>
      <c r="M205" s="172"/>
      <c r="N205" s="172"/>
      <c r="O205" s="172"/>
      <c r="P205" s="177" t="str">
        <f t="shared" si="33"/>
        <v/>
      </c>
      <c r="Q205" s="180"/>
      <c r="R205" s="175"/>
      <c r="S205" s="180"/>
      <c r="T205" s="180"/>
      <c r="U205" s="180"/>
      <c r="V205" s="180"/>
      <c r="W205" s="183" t="str">
        <f t="shared" si="34"/>
        <v/>
      </c>
      <c r="X205" s="186"/>
      <c r="Y205" s="181"/>
      <c r="Z205" s="186"/>
      <c r="AA205" s="186"/>
      <c r="AB205" s="186"/>
      <c r="AC205" s="186"/>
      <c r="AD205" s="218" t="str">
        <f t="shared" si="35"/>
        <v/>
      </c>
      <c r="AE205" s="204"/>
      <c r="AF205" s="198"/>
      <c r="AG205" s="204"/>
      <c r="AH205" s="204"/>
      <c r="AI205" s="204"/>
      <c r="AJ205" s="204"/>
      <c r="AK205" s="209" t="str">
        <f t="shared" si="36"/>
        <v/>
      </c>
      <c r="AL205" s="215"/>
      <c r="AM205" s="207"/>
      <c r="AN205" s="215"/>
      <c r="AO205" s="215"/>
      <c r="AP205" s="215"/>
      <c r="AQ205" s="215"/>
    </row>
    <row r="206" spans="1:43" x14ac:dyDescent="0.2">
      <c r="A206" s="133" t="s">
        <v>330</v>
      </c>
      <c r="B206" s="133" t="s">
        <v>37</v>
      </c>
      <c r="C206" s="133" t="s">
        <v>561</v>
      </c>
      <c r="D206" s="133" t="s">
        <v>357</v>
      </c>
      <c r="E206" s="133" t="s">
        <v>357</v>
      </c>
      <c r="F206" s="135" t="s">
        <v>681</v>
      </c>
      <c r="G206" s="134" t="s">
        <v>562</v>
      </c>
      <c r="H206" s="11" t="s">
        <v>724</v>
      </c>
      <c r="I206" s="169" t="str">
        <f t="shared" si="32"/>
        <v/>
      </c>
      <c r="J206" s="172"/>
      <c r="K206" s="167"/>
      <c r="L206" s="172"/>
      <c r="M206" s="172"/>
      <c r="N206" s="172"/>
      <c r="O206" s="172"/>
      <c r="P206" s="177" t="str">
        <f t="shared" si="33"/>
        <v/>
      </c>
      <c r="Q206" s="180"/>
      <c r="R206" s="175"/>
      <c r="S206" s="180"/>
      <c r="T206" s="180"/>
      <c r="U206" s="180"/>
      <c r="V206" s="180"/>
      <c r="W206" s="183" t="str">
        <f t="shared" si="34"/>
        <v/>
      </c>
      <c r="X206" s="186"/>
      <c r="Y206" s="181"/>
      <c r="Z206" s="186"/>
      <c r="AA206" s="186"/>
      <c r="AB206" s="186"/>
      <c r="AC206" s="186"/>
      <c r="AD206" s="218" t="str">
        <f t="shared" si="35"/>
        <v/>
      </c>
      <c r="AE206" s="204"/>
      <c r="AF206" s="198"/>
      <c r="AG206" s="204"/>
      <c r="AH206" s="204"/>
      <c r="AI206" s="204"/>
      <c r="AJ206" s="204"/>
      <c r="AK206" s="209" t="str">
        <f t="shared" si="36"/>
        <v/>
      </c>
      <c r="AL206" s="215"/>
      <c r="AM206" s="207"/>
      <c r="AN206" s="215"/>
      <c r="AO206" s="215"/>
      <c r="AP206" s="215"/>
      <c r="AQ206" s="215"/>
    </row>
    <row r="207" spans="1:43" x14ac:dyDescent="0.2">
      <c r="A207" s="133" t="s">
        <v>330</v>
      </c>
      <c r="B207" s="133" t="s">
        <v>37</v>
      </c>
      <c r="C207" s="133" t="s">
        <v>563</v>
      </c>
      <c r="D207" s="133" t="s">
        <v>357</v>
      </c>
      <c r="E207" s="133" t="s">
        <v>357</v>
      </c>
      <c r="F207" s="135" t="s">
        <v>680</v>
      </c>
      <c r="G207" s="134" t="s">
        <v>564</v>
      </c>
      <c r="H207" s="11" t="s">
        <v>723</v>
      </c>
      <c r="I207" s="169" t="str">
        <f t="shared" si="32"/>
        <v/>
      </c>
      <c r="J207" s="172"/>
      <c r="K207" s="167"/>
      <c r="L207" s="172"/>
      <c r="M207" s="172"/>
      <c r="N207" s="172"/>
      <c r="O207" s="172"/>
      <c r="P207" s="177" t="str">
        <f t="shared" si="33"/>
        <v/>
      </c>
      <c r="Q207" s="180"/>
      <c r="R207" s="175"/>
      <c r="S207" s="180"/>
      <c r="T207" s="180"/>
      <c r="U207" s="180"/>
      <c r="V207" s="180"/>
      <c r="W207" s="183" t="str">
        <f t="shared" si="34"/>
        <v/>
      </c>
      <c r="X207" s="186"/>
      <c r="Y207" s="181"/>
      <c r="Z207" s="186"/>
      <c r="AA207" s="186"/>
      <c r="AB207" s="186"/>
      <c r="AC207" s="186"/>
      <c r="AD207" s="218" t="str">
        <f t="shared" si="35"/>
        <v/>
      </c>
      <c r="AE207" s="204"/>
      <c r="AF207" s="198"/>
      <c r="AG207" s="204"/>
      <c r="AH207" s="204"/>
      <c r="AI207" s="204"/>
      <c r="AJ207" s="204"/>
      <c r="AK207" s="209" t="str">
        <f t="shared" si="36"/>
        <v/>
      </c>
      <c r="AL207" s="215"/>
      <c r="AM207" s="207"/>
      <c r="AN207" s="215"/>
      <c r="AO207" s="215"/>
      <c r="AP207" s="215"/>
      <c r="AQ207" s="215"/>
    </row>
    <row r="208" spans="1:43" x14ac:dyDescent="0.2">
      <c r="A208" s="133" t="s">
        <v>330</v>
      </c>
      <c r="B208" s="133" t="s">
        <v>37</v>
      </c>
      <c r="C208" s="133" t="s">
        <v>565</v>
      </c>
      <c r="D208" s="133" t="s">
        <v>357</v>
      </c>
      <c r="E208" s="133" t="s">
        <v>357</v>
      </c>
      <c r="F208" s="135" t="s">
        <v>679</v>
      </c>
      <c r="G208" s="134" t="s">
        <v>566</v>
      </c>
      <c r="H208" s="11" t="s">
        <v>722</v>
      </c>
      <c r="I208" s="169" t="str">
        <f t="shared" si="32"/>
        <v/>
      </c>
      <c r="J208" s="172"/>
      <c r="K208" s="167"/>
      <c r="L208" s="172"/>
      <c r="M208" s="172"/>
      <c r="N208" s="172"/>
      <c r="O208" s="172"/>
      <c r="P208" s="177" t="str">
        <f t="shared" si="33"/>
        <v/>
      </c>
      <c r="Q208" s="180"/>
      <c r="R208" s="175"/>
      <c r="S208" s="180"/>
      <c r="T208" s="180"/>
      <c r="U208" s="180"/>
      <c r="V208" s="180"/>
      <c r="W208" s="183" t="str">
        <f t="shared" si="34"/>
        <v/>
      </c>
      <c r="X208" s="186"/>
      <c r="Y208" s="181"/>
      <c r="Z208" s="186"/>
      <c r="AA208" s="186"/>
      <c r="AB208" s="186"/>
      <c r="AC208" s="186"/>
      <c r="AD208" s="218" t="str">
        <f t="shared" si="35"/>
        <v/>
      </c>
      <c r="AE208" s="204"/>
      <c r="AF208" s="198"/>
      <c r="AG208" s="204"/>
      <c r="AH208" s="204"/>
      <c r="AI208" s="204"/>
      <c r="AJ208" s="204"/>
      <c r="AK208" s="209" t="str">
        <f t="shared" si="36"/>
        <v/>
      </c>
      <c r="AL208" s="215"/>
      <c r="AM208" s="207"/>
      <c r="AN208" s="215"/>
      <c r="AO208" s="215"/>
      <c r="AP208" s="215"/>
      <c r="AQ208" s="215"/>
    </row>
    <row r="209" spans="1:43" x14ac:dyDescent="0.2">
      <c r="A209" s="133" t="s">
        <v>330</v>
      </c>
      <c r="B209" s="133" t="s">
        <v>37</v>
      </c>
      <c r="C209" s="133" t="s">
        <v>567</v>
      </c>
      <c r="D209" s="133" t="s">
        <v>357</v>
      </c>
      <c r="E209" s="133" t="s">
        <v>357</v>
      </c>
      <c r="F209" s="135" t="s">
        <v>678</v>
      </c>
      <c r="G209" s="134" t="s">
        <v>568</v>
      </c>
      <c r="H209" s="11" t="s">
        <v>721</v>
      </c>
      <c r="I209" s="169" t="str">
        <f t="shared" si="32"/>
        <v/>
      </c>
      <c r="J209" s="172"/>
      <c r="K209" s="167"/>
      <c r="L209" s="172"/>
      <c r="M209" s="172"/>
      <c r="N209" s="172"/>
      <c r="O209" s="172"/>
      <c r="P209" s="177" t="str">
        <f t="shared" si="33"/>
        <v/>
      </c>
      <c r="Q209" s="180"/>
      <c r="R209" s="175"/>
      <c r="S209" s="180"/>
      <c r="T209" s="180"/>
      <c r="U209" s="180"/>
      <c r="V209" s="180"/>
      <c r="W209" s="183" t="str">
        <f t="shared" si="34"/>
        <v/>
      </c>
      <c r="X209" s="186"/>
      <c r="Y209" s="181"/>
      <c r="Z209" s="186"/>
      <c r="AA209" s="186"/>
      <c r="AB209" s="186"/>
      <c r="AC209" s="186"/>
      <c r="AD209" s="218" t="str">
        <f t="shared" si="35"/>
        <v/>
      </c>
      <c r="AE209" s="204"/>
      <c r="AF209" s="198"/>
      <c r="AG209" s="204"/>
      <c r="AH209" s="204"/>
      <c r="AI209" s="204"/>
      <c r="AJ209" s="204"/>
      <c r="AK209" s="209" t="str">
        <f t="shared" si="36"/>
        <v/>
      </c>
      <c r="AL209" s="215"/>
      <c r="AM209" s="207"/>
      <c r="AN209" s="215"/>
      <c r="AO209" s="215"/>
      <c r="AP209" s="215"/>
      <c r="AQ209" s="215"/>
    </row>
    <row r="210" spans="1:43" x14ac:dyDescent="0.2">
      <c r="A210" s="133" t="s">
        <v>330</v>
      </c>
      <c r="B210" s="133" t="s">
        <v>37</v>
      </c>
      <c r="C210" s="133" t="s">
        <v>569</v>
      </c>
      <c r="D210" s="133" t="s">
        <v>357</v>
      </c>
      <c r="E210" s="133" t="s">
        <v>357</v>
      </c>
      <c r="F210" s="135" t="s">
        <v>677</v>
      </c>
      <c r="G210" s="134" t="s">
        <v>570</v>
      </c>
      <c r="H210" s="11" t="s">
        <v>720</v>
      </c>
      <c r="I210" s="169" t="str">
        <f t="shared" si="32"/>
        <v/>
      </c>
      <c r="J210" s="172"/>
      <c r="K210" s="167"/>
      <c r="L210" s="172"/>
      <c r="M210" s="172"/>
      <c r="N210" s="172"/>
      <c r="O210" s="172"/>
      <c r="P210" s="177" t="str">
        <f t="shared" si="33"/>
        <v/>
      </c>
      <c r="Q210" s="180"/>
      <c r="R210" s="175"/>
      <c r="S210" s="180"/>
      <c r="T210" s="180"/>
      <c r="U210" s="180"/>
      <c r="V210" s="180"/>
      <c r="W210" s="183" t="str">
        <f t="shared" si="34"/>
        <v/>
      </c>
      <c r="X210" s="186"/>
      <c r="Y210" s="181"/>
      <c r="Z210" s="186"/>
      <c r="AA210" s="186"/>
      <c r="AB210" s="186"/>
      <c r="AC210" s="186"/>
      <c r="AD210" s="218" t="str">
        <f t="shared" si="35"/>
        <v/>
      </c>
      <c r="AE210" s="204"/>
      <c r="AF210" s="198"/>
      <c r="AG210" s="204"/>
      <c r="AH210" s="204"/>
      <c r="AI210" s="204"/>
      <c r="AJ210" s="204"/>
      <c r="AK210" s="209" t="str">
        <f t="shared" si="36"/>
        <v/>
      </c>
      <c r="AL210" s="215"/>
      <c r="AM210" s="207"/>
      <c r="AN210" s="215"/>
      <c r="AO210" s="215"/>
      <c r="AP210" s="215"/>
      <c r="AQ210" s="215"/>
    </row>
    <row r="211" spans="1:43" x14ac:dyDescent="0.2">
      <c r="A211" s="133" t="s">
        <v>330</v>
      </c>
      <c r="B211" s="133" t="s">
        <v>37</v>
      </c>
      <c r="C211" s="133" t="s">
        <v>571</v>
      </c>
      <c r="D211" s="133" t="s">
        <v>357</v>
      </c>
      <c r="E211" s="133" t="s">
        <v>357</v>
      </c>
      <c r="F211" s="135" t="s">
        <v>676</v>
      </c>
      <c r="G211" s="134" t="s">
        <v>572</v>
      </c>
      <c r="H211" s="11" t="s">
        <v>719</v>
      </c>
      <c r="I211" s="169" t="str">
        <f t="shared" si="32"/>
        <v/>
      </c>
      <c r="J211" s="172"/>
      <c r="K211" s="167"/>
      <c r="L211" s="172"/>
      <c r="M211" s="172"/>
      <c r="N211" s="172"/>
      <c r="O211" s="172"/>
      <c r="P211" s="177" t="str">
        <f t="shared" si="33"/>
        <v/>
      </c>
      <c r="Q211" s="180"/>
      <c r="R211" s="175"/>
      <c r="S211" s="180"/>
      <c r="T211" s="180"/>
      <c r="U211" s="180"/>
      <c r="V211" s="180"/>
      <c r="W211" s="183" t="str">
        <f t="shared" si="34"/>
        <v/>
      </c>
      <c r="X211" s="186"/>
      <c r="Y211" s="181"/>
      <c r="Z211" s="186"/>
      <c r="AA211" s="186"/>
      <c r="AB211" s="186"/>
      <c r="AC211" s="186"/>
      <c r="AD211" s="218" t="str">
        <f t="shared" si="35"/>
        <v/>
      </c>
      <c r="AE211" s="204"/>
      <c r="AF211" s="198"/>
      <c r="AG211" s="204"/>
      <c r="AH211" s="204"/>
      <c r="AI211" s="204"/>
      <c r="AJ211" s="204"/>
      <c r="AK211" s="209" t="str">
        <f t="shared" si="36"/>
        <v/>
      </c>
      <c r="AL211" s="215"/>
      <c r="AM211" s="207"/>
      <c r="AN211" s="215"/>
      <c r="AO211" s="215"/>
      <c r="AP211" s="215"/>
      <c r="AQ211" s="215"/>
    </row>
    <row r="212" spans="1:43" x14ac:dyDescent="0.2">
      <c r="A212" s="133" t="s">
        <v>330</v>
      </c>
      <c r="B212" s="133" t="s">
        <v>37</v>
      </c>
      <c r="C212" s="133" t="s">
        <v>340</v>
      </c>
      <c r="D212" s="133" t="s">
        <v>357</v>
      </c>
      <c r="E212" s="133" t="s">
        <v>357</v>
      </c>
      <c r="F212" s="135" t="s">
        <v>675</v>
      </c>
      <c r="G212" s="134" t="s">
        <v>573</v>
      </c>
      <c r="H212" s="11" t="s">
        <v>718</v>
      </c>
      <c r="I212" s="169" t="str">
        <f t="shared" si="32"/>
        <v/>
      </c>
      <c r="J212" s="172"/>
      <c r="K212" s="167"/>
      <c r="L212" s="172"/>
      <c r="M212" s="172"/>
      <c r="N212" s="172"/>
      <c r="O212" s="172"/>
      <c r="P212" s="177" t="str">
        <f t="shared" si="33"/>
        <v/>
      </c>
      <c r="Q212" s="180"/>
      <c r="R212" s="175"/>
      <c r="S212" s="180"/>
      <c r="T212" s="180"/>
      <c r="U212" s="180"/>
      <c r="V212" s="180"/>
      <c r="W212" s="183" t="str">
        <f t="shared" si="34"/>
        <v/>
      </c>
      <c r="X212" s="186"/>
      <c r="Y212" s="181"/>
      <c r="Z212" s="186"/>
      <c r="AA212" s="186"/>
      <c r="AB212" s="186"/>
      <c r="AC212" s="186"/>
      <c r="AD212" s="218" t="str">
        <f t="shared" si="35"/>
        <v/>
      </c>
      <c r="AE212" s="204"/>
      <c r="AF212" s="198"/>
      <c r="AG212" s="204"/>
      <c r="AH212" s="204"/>
      <c r="AI212" s="204"/>
      <c r="AJ212" s="204"/>
      <c r="AK212" s="209" t="str">
        <f t="shared" si="36"/>
        <v/>
      </c>
      <c r="AL212" s="215"/>
      <c r="AM212" s="207"/>
      <c r="AN212" s="215"/>
      <c r="AO212" s="215"/>
      <c r="AP212" s="215"/>
      <c r="AQ212" s="215"/>
    </row>
    <row r="213" spans="1:43" x14ac:dyDescent="0.2">
      <c r="A213" s="133" t="s">
        <v>330</v>
      </c>
      <c r="B213" s="133" t="s">
        <v>37</v>
      </c>
      <c r="C213" s="133" t="s">
        <v>339</v>
      </c>
      <c r="D213" s="133" t="s">
        <v>357</v>
      </c>
      <c r="E213" s="133" t="s">
        <v>357</v>
      </c>
      <c r="F213" s="135" t="s">
        <v>674</v>
      </c>
      <c r="G213" s="134" t="s">
        <v>574</v>
      </c>
      <c r="H213" s="11" t="s">
        <v>717</v>
      </c>
      <c r="I213" s="169" t="str">
        <f t="shared" si="32"/>
        <v/>
      </c>
      <c r="J213" s="172"/>
      <c r="K213" s="167"/>
      <c r="L213" s="172"/>
      <c r="M213" s="172"/>
      <c r="N213" s="172"/>
      <c r="O213" s="172"/>
      <c r="P213" s="177" t="str">
        <f t="shared" si="33"/>
        <v/>
      </c>
      <c r="Q213" s="180"/>
      <c r="R213" s="175"/>
      <c r="S213" s="180"/>
      <c r="T213" s="180"/>
      <c r="U213" s="180"/>
      <c r="V213" s="180"/>
      <c r="W213" s="183" t="str">
        <f t="shared" si="34"/>
        <v/>
      </c>
      <c r="X213" s="186"/>
      <c r="Y213" s="181"/>
      <c r="Z213" s="186"/>
      <c r="AA213" s="186"/>
      <c r="AB213" s="186"/>
      <c r="AC213" s="186"/>
      <c r="AD213" s="218" t="str">
        <f t="shared" si="35"/>
        <v/>
      </c>
      <c r="AE213" s="204"/>
      <c r="AF213" s="198"/>
      <c r="AG213" s="204"/>
      <c r="AH213" s="204"/>
      <c r="AI213" s="204"/>
      <c r="AJ213" s="204"/>
      <c r="AK213" s="209" t="str">
        <f t="shared" si="36"/>
        <v/>
      </c>
      <c r="AL213" s="215"/>
      <c r="AM213" s="207"/>
      <c r="AN213" s="215"/>
      <c r="AO213" s="215"/>
      <c r="AP213" s="215"/>
      <c r="AQ213" s="215"/>
    </row>
    <row r="214" spans="1:43" x14ac:dyDescent="0.2">
      <c r="A214" s="133" t="s">
        <v>330</v>
      </c>
      <c r="B214" s="133" t="s">
        <v>37</v>
      </c>
      <c r="C214" s="133" t="s">
        <v>338</v>
      </c>
      <c r="D214" s="133" t="s">
        <v>357</v>
      </c>
      <c r="E214" s="133" t="s">
        <v>357</v>
      </c>
      <c r="F214" s="135" t="s">
        <v>673</v>
      </c>
      <c r="G214" s="134" t="s">
        <v>575</v>
      </c>
      <c r="H214" s="11" t="s">
        <v>716</v>
      </c>
      <c r="I214" s="169" t="str">
        <f t="shared" si="32"/>
        <v/>
      </c>
      <c r="J214" s="172"/>
      <c r="K214" s="167"/>
      <c r="L214" s="172"/>
      <c r="M214" s="172"/>
      <c r="N214" s="172"/>
      <c r="O214" s="172"/>
      <c r="P214" s="177" t="str">
        <f t="shared" si="33"/>
        <v/>
      </c>
      <c r="Q214" s="180"/>
      <c r="R214" s="175"/>
      <c r="S214" s="180"/>
      <c r="T214" s="180"/>
      <c r="U214" s="180"/>
      <c r="V214" s="180"/>
      <c r="W214" s="183" t="str">
        <f t="shared" si="34"/>
        <v/>
      </c>
      <c r="X214" s="186"/>
      <c r="Y214" s="181"/>
      <c r="Z214" s="186"/>
      <c r="AA214" s="186"/>
      <c r="AB214" s="186"/>
      <c r="AC214" s="186"/>
      <c r="AD214" s="218" t="str">
        <f t="shared" si="35"/>
        <v/>
      </c>
      <c r="AE214" s="204"/>
      <c r="AF214" s="198"/>
      <c r="AG214" s="204"/>
      <c r="AH214" s="204"/>
      <c r="AI214" s="204"/>
      <c r="AJ214" s="204"/>
      <c r="AK214" s="209" t="str">
        <f t="shared" si="36"/>
        <v/>
      </c>
      <c r="AL214" s="215"/>
      <c r="AM214" s="207"/>
      <c r="AN214" s="215"/>
      <c r="AO214" s="215"/>
      <c r="AP214" s="215"/>
      <c r="AQ214" s="215"/>
    </row>
    <row r="215" spans="1:43" x14ac:dyDescent="0.2">
      <c r="A215" s="133" t="s">
        <v>330</v>
      </c>
      <c r="B215" s="133" t="s">
        <v>37</v>
      </c>
      <c r="C215" s="133" t="s">
        <v>337</v>
      </c>
      <c r="D215" s="133" t="s">
        <v>357</v>
      </c>
      <c r="E215" s="133" t="s">
        <v>357</v>
      </c>
      <c r="F215" s="135" t="s">
        <v>672</v>
      </c>
      <c r="G215" s="134" t="s">
        <v>576</v>
      </c>
      <c r="H215" s="11" t="s">
        <v>715</v>
      </c>
      <c r="I215" s="169" t="str">
        <f t="shared" si="32"/>
        <v/>
      </c>
      <c r="J215" s="172"/>
      <c r="K215" s="167"/>
      <c r="L215" s="172"/>
      <c r="M215" s="172"/>
      <c r="N215" s="172"/>
      <c r="O215" s="172"/>
      <c r="P215" s="177" t="str">
        <f t="shared" si="33"/>
        <v/>
      </c>
      <c r="Q215" s="180"/>
      <c r="R215" s="175"/>
      <c r="S215" s="180"/>
      <c r="T215" s="180"/>
      <c r="U215" s="180"/>
      <c r="V215" s="180"/>
      <c r="W215" s="183" t="str">
        <f t="shared" si="34"/>
        <v/>
      </c>
      <c r="X215" s="186"/>
      <c r="Y215" s="181"/>
      <c r="Z215" s="186"/>
      <c r="AA215" s="186"/>
      <c r="AB215" s="186"/>
      <c r="AC215" s="186"/>
      <c r="AD215" s="218" t="str">
        <f t="shared" si="35"/>
        <v/>
      </c>
      <c r="AE215" s="204"/>
      <c r="AF215" s="198"/>
      <c r="AG215" s="204"/>
      <c r="AH215" s="204"/>
      <c r="AI215" s="204"/>
      <c r="AJ215" s="204"/>
      <c r="AK215" s="209" t="str">
        <f t="shared" si="36"/>
        <v/>
      </c>
      <c r="AL215" s="215"/>
      <c r="AM215" s="207"/>
      <c r="AN215" s="215"/>
      <c r="AO215" s="215"/>
      <c r="AP215" s="215"/>
      <c r="AQ215" s="215"/>
    </row>
    <row r="216" spans="1:43" x14ac:dyDescent="0.2">
      <c r="A216" s="133" t="s">
        <v>330</v>
      </c>
      <c r="B216" s="133" t="s">
        <v>37</v>
      </c>
      <c r="C216" s="133" t="s">
        <v>336</v>
      </c>
      <c r="D216" s="133" t="s">
        <v>357</v>
      </c>
      <c r="E216" s="133" t="s">
        <v>357</v>
      </c>
      <c r="F216" s="135" t="s">
        <v>671</v>
      </c>
      <c r="G216" s="134" t="s">
        <v>577</v>
      </c>
      <c r="H216" s="11" t="s">
        <v>714</v>
      </c>
      <c r="I216" s="169" t="str">
        <f t="shared" si="32"/>
        <v/>
      </c>
      <c r="J216" s="172"/>
      <c r="K216" s="167"/>
      <c r="L216" s="172"/>
      <c r="M216" s="172"/>
      <c r="N216" s="172"/>
      <c r="O216" s="172"/>
      <c r="P216" s="177" t="str">
        <f t="shared" si="33"/>
        <v/>
      </c>
      <c r="Q216" s="180"/>
      <c r="R216" s="175"/>
      <c r="S216" s="180"/>
      <c r="T216" s="180"/>
      <c r="U216" s="180"/>
      <c r="V216" s="180"/>
      <c r="W216" s="183" t="str">
        <f t="shared" si="34"/>
        <v/>
      </c>
      <c r="X216" s="186"/>
      <c r="Y216" s="181"/>
      <c r="Z216" s="186"/>
      <c r="AA216" s="186"/>
      <c r="AB216" s="186"/>
      <c r="AC216" s="186"/>
      <c r="AD216" s="218" t="str">
        <f t="shared" si="35"/>
        <v/>
      </c>
      <c r="AE216" s="204"/>
      <c r="AF216" s="198"/>
      <c r="AG216" s="204"/>
      <c r="AH216" s="204"/>
      <c r="AI216" s="204"/>
      <c r="AJ216" s="204"/>
      <c r="AK216" s="209" t="str">
        <f t="shared" si="36"/>
        <v/>
      </c>
      <c r="AL216" s="215"/>
      <c r="AM216" s="207"/>
      <c r="AN216" s="215"/>
      <c r="AO216" s="215"/>
      <c r="AP216" s="215"/>
      <c r="AQ216" s="215"/>
    </row>
    <row r="217" spans="1:43" x14ac:dyDescent="0.2">
      <c r="A217" s="133" t="s">
        <v>330</v>
      </c>
      <c r="B217" s="133" t="s">
        <v>37</v>
      </c>
      <c r="C217" s="133" t="s">
        <v>335</v>
      </c>
      <c r="D217" s="133" t="s">
        <v>357</v>
      </c>
      <c r="E217" s="133" t="s">
        <v>357</v>
      </c>
      <c r="F217" s="135" t="s">
        <v>670</v>
      </c>
      <c r="G217" s="136" t="s">
        <v>578</v>
      </c>
      <c r="H217" s="11" t="s">
        <v>713</v>
      </c>
      <c r="I217" s="169" t="str">
        <f t="shared" si="32"/>
        <v/>
      </c>
      <c r="J217" s="172"/>
      <c r="K217" s="167"/>
      <c r="L217" s="172"/>
      <c r="M217" s="172"/>
      <c r="N217" s="172"/>
      <c r="O217" s="172"/>
      <c r="P217" s="177" t="str">
        <f t="shared" si="33"/>
        <v/>
      </c>
      <c r="Q217" s="180"/>
      <c r="R217" s="175"/>
      <c r="S217" s="180"/>
      <c r="T217" s="180"/>
      <c r="U217" s="180"/>
      <c r="V217" s="180"/>
      <c r="W217" s="183" t="str">
        <f t="shared" si="34"/>
        <v/>
      </c>
      <c r="X217" s="186"/>
      <c r="Y217" s="181"/>
      <c r="Z217" s="186"/>
      <c r="AA217" s="186"/>
      <c r="AB217" s="186"/>
      <c r="AC217" s="186"/>
      <c r="AD217" s="218" t="str">
        <f t="shared" si="35"/>
        <v/>
      </c>
      <c r="AE217" s="204"/>
      <c r="AF217" s="198"/>
      <c r="AG217" s="204"/>
      <c r="AH217" s="204"/>
      <c r="AI217" s="204"/>
      <c r="AJ217" s="204"/>
      <c r="AK217" s="209" t="str">
        <f t="shared" si="36"/>
        <v/>
      </c>
      <c r="AL217" s="215"/>
      <c r="AM217" s="207"/>
      <c r="AN217" s="215"/>
      <c r="AO217" s="215"/>
      <c r="AP217" s="215"/>
      <c r="AQ217" s="215"/>
    </row>
    <row r="218" spans="1:43" x14ac:dyDescent="0.2">
      <c r="A218" s="133" t="s">
        <v>330</v>
      </c>
      <c r="B218" s="133" t="s">
        <v>37</v>
      </c>
      <c r="C218" s="133" t="s">
        <v>579</v>
      </c>
      <c r="D218" s="133" t="s">
        <v>357</v>
      </c>
      <c r="E218" s="133" t="s">
        <v>357</v>
      </c>
      <c r="F218" s="135" t="s">
        <v>669</v>
      </c>
      <c r="G218" s="136" t="s">
        <v>595</v>
      </c>
      <c r="H218" s="11" t="s">
        <v>712</v>
      </c>
      <c r="I218" s="169" t="str">
        <f t="shared" si="32"/>
        <v/>
      </c>
      <c r="J218" s="172"/>
      <c r="K218" s="167"/>
      <c r="L218" s="172"/>
      <c r="M218" s="172"/>
      <c r="N218" s="172"/>
      <c r="O218" s="172"/>
      <c r="P218" s="177" t="str">
        <f t="shared" si="33"/>
        <v/>
      </c>
      <c r="Q218" s="180"/>
      <c r="R218" s="175"/>
      <c r="S218" s="180"/>
      <c r="T218" s="180"/>
      <c r="U218" s="180"/>
      <c r="V218" s="180"/>
      <c r="W218" s="183" t="str">
        <f t="shared" si="34"/>
        <v/>
      </c>
      <c r="X218" s="186"/>
      <c r="Y218" s="181"/>
      <c r="Z218" s="186"/>
      <c r="AA218" s="186"/>
      <c r="AB218" s="186"/>
      <c r="AC218" s="186"/>
      <c r="AD218" s="218" t="str">
        <f t="shared" si="35"/>
        <v/>
      </c>
      <c r="AE218" s="204"/>
      <c r="AF218" s="198"/>
      <c r="AG218" s="204"/>
      <c r="AH218" s="204"/>
      <c r="AI218" s="204"/>
      <c r="AJ218" s="204"/>
      <c r="AK218" s="209" t="str">
        <f t="shared" si="36"/>
        <v/>
      </c>
      <c r="AL218" s="215"/>
      <c r="AM218" s="207"/>
      <c r="AN218" s="215"/>
      <c r="AO218" s="215"/>
      <c r="AP218" s="215"/>
      <c r="AQ218" s="215"/>
    </row>
    <row r="219" spans="1:43" x14ac:dyDescent="0.2">
      <c r="A219" s="133" t="s">
        <v>330</v>
      </c>
      <c r="B219" s="133" t="s">
        <v>37</v>
      </c>
      <c r="C219" s="133" t="s">
        <v>334</v>
      </c>
      <c r="D219" s="133" t="s">
        <v>357</v>
      </c>
      <c r="E219" s="133" t="s">
        <v>357</v>
      </c>
      <c r="F219" s="135" t="s">
        <v>668</v>
      </c>
      <c r="G219" s="136" t="s">
        <v>594</v>
      </c>
      <c r="H219" s="11" t="s">
        <v>711</v>
      </c>
      <c r="I219" s="169" t="str">
        <f t="shared" si="32"/>
        <v/>
      </c>
      <c r="J219" s="172"/>
      <c r="K219" s="167"/>
      <c r="L219" s="172"/>
      <c r="M219" s="172"/>
      <c r="N219" s="172"/>
      <c r="O219" s="172"/>
      <c r="P219" s="177" t="str">
        <f t="shared" si="33"/>
        <v/>
      </c>
      <c r="Q219" s="180"/>
      <c r="R219" s="175"/>
      <c r="S219" s="180"/>
      <c r="T219" s="180"/>
      <c r="U219" s="180"/>
      <c r="V219" s="180"/>
      <c r="W219" s="183" t="str">
        <f t="shared" si="34"/>
        <v/>
      </c>
      <c r="X219" s="186"/>
      <c r="Y219" s="181"/>
      <c r="Z219" s="186"/>
      <c r="AA219" s="186"/>
      <c r="AB219" s="186"/>
      <c r="AC219" s="186"/>
      <c r="AD219" s="218" t="str">
        <f t="shared" si="35"/>
        <v/>
      </c>
      <c r="AE219" s="204"/>
      <c r="AF219" s="198"/>
      <c r="AG219" s="204"/>
      <c r="AH219" s="204"/>
      <c r="AI219" s="204"/>
      <c r="AJ219" s="204"/>
      <c r="AK219" s="209" t="str">
        <f t="shared" si="36"/>
        <v/>
      </c>
      <c r="AL219" s="215"/>
      <c r="AM219" s="207"/>
      <c r="AN219" s="215"/>
      <c r="AO219" s="215"/>
      <c r="AP219" s="215"/>
      <c r="AQ219" s="215"/>
    </row>
    <row r="220" spans="1:43" x14ac:dyDescent="0.2">
      <c r="A220" s="133" t="s">
        <v>330</v>
      </c>
      <c r="B220" s="133" t="s">
        <v>37</v>
      </c>
      <c r="C220" s="133" t="s">
        <v>333</v>
      </c>
      <c r="D220" s="133" t="s">
        <v>357</v>
      </c>
      <c r="E220" s="133" t="s">
        <v>357</v>
      </c>
      <c r="F220" s="135" t="s">
        <v>667</v>
      </c>
      <c r="G220" s="136" t="s">
        <v>581</v>
      </c>
      <c r="H220" s="11" t="s">
        <v>710</v>
      </c>
      <c r="I220" s="169" t="str">
        <f t="shared" si="32"/>
        <v/>
      </c>
      <c r="J220" s="172"/>
      <c r="K220" s="167"/>
      <c r="L220" s="172"/>
      <c r="M220" s="172"/>
      <c r="N220" s="172"/>
      <c r="O220" s="172"/>
      <c r="P220" s="177" t="str">
        <f t="shared" si="33"/>
        <v/>
      </c>
      <c r="Q220" s="180"/>
      <c r="R220" s="175"/>
      <c r="S220" s="180"/>
      <c r="T220" s="180"/>
      <c r="U220" s="180"/>
      <c r="V220" s="180"/>
      <c r="W220" s="183" t="str">
        <f t="shared" si="34"/>
        <v/>
      </c>
      <c r="X220" s="186"/>
      <c r="Y220" s="181"/>
      <c r="Z220" s="186"/>
      <c r="AA220" s="186"/>
      <c r="AB220" s="186"/>
      <c r="AC220" s="186"/>
      <c r="AD220" s="218" t="str">
        <f t="shared" si="35"/>
        <v/>
      </c>
      <c r="AE220" s="204"/>
      <c r="AF220" s="198"/>
      <c r="AG220" s="204"/>
      <c r="AH220" s="204"/>
      <c r="AI220" s="204"/>
      <c r="AJ220" s="204"/>
      <c r="AK220" s="209" t="str">
        <f t="shared" si="36"/>
        <v/>
      </c>
      <c r="AL220" s="215"/>
      <c r="AM220" s="207"/>
      <c r="AN220" s="215"/>
      <c r="AO220" s="215"/>
      <c r="AP220" s="215"/>
      <c r="AQ220" s="215"/>
    </row>
    <row r="221" spans="1:43" x14ac:dyDescent="0.2">
      <c r="A221" s="133" t="s">
        <v>330</v>
      </c>
      <c r="B221" s="133" t="s">
        <v>37</v>
      </c>
      <c r="C221" s="133" t="s">
        <v>582</v>
      </c>
      <c r="D221" s="133" t="s">
        <v>357</v>
      </c>
      <c r="E221" s="133" t="s">
        <v>357</v>
      </c>
      <c r="F221" s="135" t="s">
        <v>666</v>
      </c>
      <c r="G221" s="136" t="s">
        <v>583</v>
      </c>
      <c r="H221" s="11" t="s">
        <v>709</v>
      </c>
      <c r="I221" s="169" t="str">
        <f t="shared" si="32"/>
        <v/>
      </c>
      <c r="J221" s="172"/>
      <c r="K221" s="167"/>
      <c r="L221" s="172"/>
      <c r="M221" s="172"/>
      <c r="N221" s="172"/>
      <c r="O221" s="172"/>
      <c r="P221" s="177" t="str">
        <f t="shared" si="33"/>
        <v/>
      </c>
      <c r="Q221" s="180"/>
      <c r="R221" s="175"/>
      <c r="S221" s="180"/>
      <c r="T221" s="180"/>
      <c r="U221" s="180"/>
      <c r="V221" s="180"/>
      <c r="W221" s="183" t="str">
        <f t="shared" si="34"/>
        <v/>
      </c>
      <c r="X221" s="186"/>
      <c r="Y221" s="181"/>
      <c r="Z221" s="186"/>
      <c r="AA221" s="186"/>
      <c r="AB221" s="186"/>
      <c r="AC221" s="186"/>
      <c r="AD221" s="218" t="str">
        <f t="shared" si="35"/>
        <v/>
      </c>
      <c r="AE221" s="204"/>
      <c r="AF221" s="198"/>
      <c r="AG221" s="204"/>
      <c r="AH221" s="204"/>
      <c r="AI221" s="204"/>
      <c r="AJ221" s="204"/>
      <c r="AK221" s="209" t="str">
        <f t="shared" si="36"/>
        <v/>
      </c>
      <c r="AL221" s="215"/>
      <c r="AM221" s="207"/>
      <c r="AN221" s="215"/>
      <c r="AO221" s="215"/>
      <c r="AP221" s="215"/>
      <c r="AQ221" s="215"/>
    </row>
    <row r="222" spans="1:43" x14ac:dyDescent="0.2">
      <c r="A222" s="133" t="s">
        <v>330</v>
      </c>
      <c r="B222" s="133" t="s">
        <v>37</v>
      </c>
      <c r="C222" s="133" t="s">
        <v>332</v>
      </c>
      <c r="D222" s="133" t="s">
        <v>357</v>
      </c>
      <c r="E222" s="133" t="s">
        <v>357</v>
      </c>
      <c r="F222" s="135" t="s">
        <v>665</v>
      </c>
      <c r="G222" s="136" t="s">
        <v>584</v>
      </c>
      <c r="H222" s="11" t="s">
        <v>708</v>
      </c>
      <c r="I222" s="169" t="str">
        <f t="shared" si="32"/>
        <v/>
      </c>
      <c r="J222" s="172"/>
      <c r="K222" s="167"/>
      <c r="L222" s="172"/>
      <c r="M222" s="172"/>
      <c r="N222" s="172"/>
      <c r="O222" s="172"/>
      <c r="P222" s="177" t="str">
        <f t="shared" si="33"/>
        <v/>
      </c>
      <c r="Q222" s="180"/>
      <c r="R222" s="175"/>
      <c r="S222" s="180"/>
      <c r="T222" s="180"/>
      <c r="U222" s="180"/>
      <c r="V222" s="180"/>
      <c r="W222" s="183" t="str">
        <f t="shared" si="34"/>
        <v/>
      </c>
      <c r="X222" s="186"/>
      <c r="Y222" s="181"/>
      <c r="Z222" s="186"/>
      <c r="AA222" s="186"/>
      <c r="AB222" s="186"/>
      <c r="AC222" s="186"/>
      <c r="AD222" s="218" t="str">
        <f t="shared" si="35"/>
        <v/>
      </c>
      <c r="AE222" s="204"/>
      <c r="AF222" s="198"/>
      <c r="AG222" s="204"/>
      <c r="AH222" s="204"/>
      <c r="AI222" s="204"/>
      <c r="AJ222" s="204"/>
      <c r="AK222" s="209" t="str">
        <f t="shared" si="36"/>
        <v/>
      </c>
      <c r="AL222" s="215"/>
      <c r="AM222" s="207"/>
      <c r="AN222" s="215"/>
      <c r="AO222" s="215"/>
      <c r="AP222" s="215"/>
      <c r="AQ222" s="215"/>
    </row>
    <row r="223" spans="1:43" x14ac:dyDescent="0.2">
      <c r="A223" s="133" t="s">
        <v>330</v>
      </c>
      <c r="B223" s="133" t="s">
        <v>37</v>
      </c>
      <c r="C223" s="133" t="s">
        <v>331</v>
      </c>
      <c r="D223" s="133" t="s">
        <v>357</v>
      </c>
      <c r="E223" s="133" t="s">
        <v>357</v>
      </c>
      <c r="F223" s="135" t="s">
        <v>664</v>
      </c>
      <c r="G223" s="136" t="s">
        <v>593</v>
      </c>
      <c r="H223" s="11" t="s">
        <v>707</v>
      </c>
      <c r="I223" s="169" t="str">
        <f t="shared" si="32"/>
        <v/>
      </c>
      <c r="J223" s="172"/>
      <c r="K223" s="167"/>
      <c r="L223" s="172"/>
      <c r="M223" s="172"/>
      <c r="N223" s="172"/>
      <c r="O223" s="172"/>
      <c r="P223" s="177" t="str">
        <f t="shared" si="33"/>
        <v/>
      </c>
      <c r="Q223" s="180"/>
      <c r="R223" s="175"/>
      <c r="S223" s="180"/>
      <c r="T223" s="180"/>
      <c r="U223" s="180"/>
      <c r="V223" s="180"/>
      <c r="W223" s="183" t="str">
        <f t="shared" si="34"/>
        <v/>
      </c>
      <c r="X223" s="186"/>
      <c r="Y223" s="181"/>
      <c r="Z223" s="186"/>
      <c r="AA223" s="186"/>
      <c r="AB223" s="186"/>
      <c r="AC223" s="186"/>
      <c r="AD223" s="218" t="str">
        <f t="shared" si="35"/>
        <v/>
      </c>
      <c r="AE223" s="204"/>
      <c r="AF223" s="198"/>
      <c r="AG223" s="204"/>
      <c r="AH223" s="204"/>
      <c r="AI223" s="204"/>
      <c r="AJ223" s="204"/>
      <c r="AK223" s="209" t="str">
        <f t="shared" si="36"/>
        <v/>
      </c>
      <c r="AL223" s="215"/>
      <c r="AM223" s="207"/>
      <c r="AN223" s="215"/>
      <c r="AO223" s="215"/>
      <c r="AP223" s="215"/>
      <c r="AQ223" s="215"/>
    </row>
    <row r="224" spans="1:43" x14ac:dyDescent="0.2">
      <c r="A224" s="135" t="s">
        <v>330</v>
      </c>
      <c r="B224" s="135" t="s">
        <v>37</v>
      </c>
      <c r="C224" s="135" t="s">
        <v>329</v>
      </c>
      <c r="D224" s="135" t="s">
        <v>357</v>
      </c>
      <c r="E224" s="135" t="s">
        <v>357</v>
      </c>
      <c r="F224" s="135" t="s">
        <v>663</v>
      </c>
      <c r="G224" s="134" t="s">
        <v>586</v>
      </c>
      <c r="H224" t="s">
        <v>706</v>
      </c>
      <c r="I224" s="169" t="str">
        <f t="shared" si="32"/>
        <v/>
      </c>
      <c r="J224" s="172"/>
      <c r="K224" s="167"/>
      <c r="L224" s="172"/>
      <c r="M224" s="172"/>
      <c r="N224" s="172"/>
      <c r="O224" s="172"/>
      <c r="P224" s="177" t="str">
        <f t="shared" si="33"/>
        <v/>
      </c>
      <c r="Q224" s="180"/>
      <c r="R224" s="175"/>
      <c r="S224" s="180"/>
      <c r="T224" s="180"/>
      <c r="U224" s="180"/>
      <c r="V224" s="180"/>
      <c r="W224" s="183" t="str">
        <f t="shared" si="34"/>
        <v/>
      </c>
      <c r="X224" s="186"/>
      <c r="Y224" s="181"/>
      <c r="Z224" s="186"/>
      <c r="AA224" s="186"/>
      <c r="AB224" s="186"/>
      <c r="AC224" s="186"/>
      <c r="AD224" s="218" t="str">
        <f t="shared" si="35"/>
        <v/>
      </c>
      <c r="AE224" s="204"/>
      <c r="AF224" s="198"/>
      <c r="AG224" s="204"/>
      <c r="AH224" s="204"/>
      <c r="AI224" s="204"/>
      <c r="AJ224" s="204"/>
      <c r="AK224" s="209" t="str">
        <f t="shared" si="36"/>
        <v/>
      </c>
      <c r="AL224" s="215"/>
      <c r="AM224" s="207"/>
      <c r="AN224" s="215"/>
      <c r="AO224" s="215"/>
      <c r="AP224" s="215"/>
      <c r="AQ224" s="215"/>
    </row>
    <row r="225" spans="1:18" x14ac:dyDescent="0.2">
      <c r="A225" s="135"/>
      <c r="B225" s="135"/>
      <c r="C225" s="135"/>
      <c r="D225" s="135"/>
      <c r="E225" s="135"/>
      <c r="F225" s="135"/>
      <c r="I225" s="11"/>
      <c r="K225" s="11"/>
    </row>
    <row r="226" spans="1:18" x14ac:dyDescent="0.2">
      <c r="A226" s="135"/>
      <c r="B226" s="135"/>
      <c r="C226" s="135"/>
      <c r="D226" s="135"/>
      <c r="E226" s="135"/>
      <c r="F226" s="135"/>
      <c r="I226" s="11"/>
      <c r="K226" s="11"/>
    </row>
    <row r="227" spans="1:18" x14ac:dyDescent="0.2">
      <c r="F227" s="135"/>
      <c r="I227" s="11"/>
      <c r="K227" s="11"/>
    </row>
    <row r="228" spans="1:18" x14ac:dyDescent="0.2">
      <c r="F228" s="135"/>
      <c r="I228" s="11"/>
      <c r="K228" s="11"/>
    </row>
    <row r="229" spans="1:18" x14ac:dyDescent="0.2">
      <c r="B229" s="135"/>
      <c r="F229" s="135"/>
      <c r="I229" s="11"/>
      <c r="K229" s="11"/>
    </row>
    <row r="230" spans="1:18" x14ac:dyDescent="0.2">
      <c r="F230" s="135"/>
      <c r="I230" s="11"/>
      <c r="K230" s="11"/>
    </row>
    <row r="231" spans="1:18" x14ac:dyDescent="0.2">
      <c r="F231" s="135"/>
      <c r="I231" s="11"/>
      <c r="K231" s="11"/>
    </row>
    <row r="232" spans="1:18" x14ac:dyDescent="0.2">
      <c r="A232" s="135"/>
      <c r="F232" s="135"/>
      <c r="I232" s="11"/>
      <c r="K232" s="11"/>
    </row>
    <row r="233" spans="1:18" x14ac:dyDescent="0.2">
      <c r="F233" s="135"/>
      <c r="I233" s="11"/>
      <c r="K233" s="11"/>
    </row>
    <row r="234" spans="1:18" x14ac:dyDescent="0.2">
      <c r="F234" s="135"/>
      <c r="I234" s="11"/>
      <c r="K234" s="11"/>
    </row>
    <row r="235" spans="1:18" x14ac:dyDescent="0.2">
      <c r="F235" s="135"/>
      <c r="G235" s="136"/>
      <c r="H235" s="11"/>
      <c r="I235" s="11"/>
      <c r="K235" s="11"/>
    </row>
    <row r="236" spans="1:18" x14ac:dyDescent="0.2">
      <c r="F236" s="135"/>
      <c r="G236" s="136"/>
      <c r="H236" s="11"/>
      <c r="I236" s="11"/>
      <c r="K236" s="11"/>
    </row>
    <row r="237" spans="1:18" x14ac:dyDescent="0.2">
      <c r="F237" s="135"/>
      <c r="I237" s="11"/>
      <c r="K237" s="11"/>
    </row>
    <row r="238" spans="1:18" x14ac:dyDescent="0.2">
      <c r="F238" s="135"/>
      <c r="I238" s="11"/>
      <c r="K238" s="11"/>
    </row>
    <row r="239" spans="1:18" x14ac:dyDescent="0.2">
      <c r="F239" s="135"/>
      <c r="I239" s="11"/>
      <c r="R239" s="11"/>
    </row>
    <row r="240" spans="1:18" x14ac:dyDescent="0.2">
      <c r="F240" s="135"/>
      <c r="I240" s="11"/>
      <c r="R240" s="11"/>
    </row>
    <row r="241" spans="6:18" x14ac:dyDescent="0.2">
      <c r="F241" s="135"/>
      <c r="I241" s="11"/>
      <c r="R241" s="11"/>
    </row>
    <row r="242" spans="6:18" x14ac:dyDescent="0.2">
      <c r="F242" s="135"/>
      <c r="I242" s="11"/>
      <c r="R242" s="11"/>
    </row>
    <row r="243" spans="6:18" x14ac:dyDescent="0.2">
      <c r="F243" s="135"/>
      <c r="I243" s="11"/>
      <c r="R243" s="11"/>
    </row>
    <row r="244" spans="6:18" x14ac:dyDescent="0.2">
      <c r="F244" s="135"/>
      <c r="I244" s="11"/>
      <c r="R244" s="11"/>
    </row>
    <row r="245" spans="6:18" x14ac:dyDescent="0.2">
      <c r="F245" s="135"/>
      <c r="I245" s="11"/>
      <c r="R245" s="11"/>
    </row>
    <row r="246" spans="6:18" x14ac:dyDescent="0.2">
      <c r="F246" s="135"/>
      <c r="I246" s="11"/>
      <c r="R246" s="11"/>
    </row>
    <row r="247" spans="6:18" x14ac:dyDescent="0.2">
      <c r="F247" s="135"/>
      <c r="I247" s="11"/>
      <c r="R247" s="11"/>
    </row>
    <row r="248" spans="6:18" x14ac:dyDescent="0.2">
      <c r="F248" s="135"/>
      <c r="I248" s="11"/>
      <c r="R248" s="11"/>
    </row>
    <row r="249" spans="6:18" x14ac:dyDescent="0.2">
      <c r="F249" s="135"/>
      <c r="I249" s="11"/>
      <c r="R249" s="11"/>
    </row>
    <row r="250" spans="6:18" x14ac:dyDescent="0.2">
      <c r="F250" s="135"/>
      <c r="I250" s="11"/>
      <c r="R250" s="11"/>
    </row>
    <row r="251" spans="6:18" x14ac:dyDescent="0.2">
      <c r="F251" s="135"/>
      <c r="I251" s="11"/>
      <c r="R251" s="11"/>
    </row>
    <row r="252" spans="6:18" x14ac:dyDescent="0.2">
      <c r="F252" s="135"/>
      <c r="I252" s="11"/>
      <c r="R252" s="11"/>
    </row>
    <row r="253" spans="6:18" x14ac:dyDescent="0.2">
      <c r="F253" s="135"/>
      <c r="I253" s="11"/>
      <c r="R253" s="11"/>
    </row>
    <row r="254" spans="6:18" x14ac:dyDescent="0.2">
      <c r="F254" s="135"/>
      <c r="I254" s="11"/>
      <c r="R254" s="11"/>
    </row>
    <row r="255" spans="6:18" x14ac:dyDescent="0.2">
      <c r="F255" s="135"/>
      <c r="I255" s="11"/>
      <c r="R255" s="11"/>
    </row>
    <row r="256" spans="6:18" x14ac:dyDescent="0.2">
      <c r="F256" s="135"/>
      <c r="I256" s="11"/>
      <c r="R256" s="11"/>
    </row>
    <row r="257" spans="6:18" x14ac:dyDescent="0.2">
      <c r="F257" s="135"/>
      <c r="I257" s="11"/>
      <c r="R257" s="11"/>
    </row>
    <row r="258" spans="6:18" x14ac:dyDescent="0.2">
      <c r="F258" s="135"/>
      <c r="I258" s="11"/>
      <c r="R258" s="11"/>
    </row>
    <row r="259" spans="6:18" x14ac:dyDescent="0.2">
      <c r="F259" s="135"/>
      <c r="I259" s="11"/>
      <c r="R259" s="11"/>
    </row>
    <row r="260" spans="6:18" x14ac:dyDescent="0.2">
      <c r="F260" s="135"/>
      <c r="I260" s="11"/>
      <c r="R260" s="11"/>
    </row>
    <row r="261" spans="6:18" x14ac:dyDescent="0.2">
      <c r="F261" s="135"/>
      <c r="I261" s="11"/>
      <c r="R261" s="11"/>
    </row>
    <row r="262" spans="6:18" x14ac:dyDescent="0.2">
      <c r="F262" s="135"/>
      <c r="I262" s="11"/>
      <c r="R262" s="11"/>
    </row>
    <row r="263" spans="6:18" x14ac:dyDescent="0.2">
      <c r="F263" s="135"/>
      <c r="I263" s="11"/>
      <c r="R263" s="11"/>
    </row>
    <row r="264" spans="6:18" x14ac:dyDescent="0.2">
      <c r="F264" s="135"/>
      <c r="I264" s="11"/>
      <c r="R264" s="11"/>
    </row>
    <row r="265" spans="6:18" x14ac:dyDescent="0.2">
      <c r="F265" s="135"/>
      <c r="I265" s="11"/>
      <c r="R265" s="11"/>
    </row>
    <row r="266" spans="6:18" x14ac:dyDescent="0.2">
      <c r="F266" s="135"/>
      <c r="I266" s="11"/>
      <c r="R266" s="11"/>
    </row>
    <row r="267" spans="6:18" x14ac:dyDescent="0.2">
      <c r="F267" s="135"/>
      <c r="I267" s="11"/>
      <c r="R267" s="11"/>
    </row>
    <row r="268" spans="6:18" x14ac:dyDescent="0.2">
      <c r="F268" s="135"/>
      <c r="I268" s="11"/>
      <c r="R268" s="11"/>
    </row>
    <row r="269" spans="6:18" x14ac:dyDescent="0.2">
      <c r="F269" s="135"/>
      <c r="I269" s="11"/>
      <c r="R269" s="11"/>
    </row>
    <row r="270" spans="6:18" x14ac:dyDescent="0.2">
      <c r="F270" s="135"/>
      <c r="I270" s="11"/>
      <c r="R270" s="11"/>
    </row>
    <row r="271" spans="6:18" x14ac:dyDescent="0.2">
      <c r="F271" s="135"/>
      <c r="I271" s="11"/>
      <c r="R271" s="11"/>
    </row>
    <row r="272" spans="6:18" x14ac:dyDescent="0.2">
      <c r="F272" s="135"/>
      <c r="I272" s="11"/>
      <c r="R272" s="11"/>
    </row>
    <row r="273" spans="1:18" x14ac:dyDescent="0.2">
      <c r="F273" s="135"/>
      <c r="I273" s="11"/>
      <c r="R273" s="11"/>
    </row>
    <row r="274" spans="1:18" x14ac:dyDescent="0.2">
      <c r="F274" s="135"/>
      <c r="I274" s="11"/>
      <c r="R274" s="11"/>
    </row>
    <row r="275" spans="1:18" x14ac:dyDescent="0.2">
      <c r="F275" s="135"/>
      <c r="I275" s="11"/>
      <c r="R275" s="11"/>
    </row>
    <row r="276" spans="1:18" x14ac:dyDescent="0.2">
      <c r="F276" s="135"/>
      <c r="I276" s="11"/>
      <c r="R276" s="11"/>
    </row>
    <row r="277" spans="1:18" x14ac:dyDescent="0.2">
      <c r="F277" s="135"/>
      <c r="I277" s="11"/>
      <c r="R277" s="11"/>
    </row>
    <row r="278" spans="1:18" x14ac:dyDescent="0.2">
      <c r="F278" s="135"/>
      <c r="I278" s="11"/>
      <c r="R278" s="11"/>
    </row>
    <row r="279" spans="1:18" x14ac:dyDescent="0.2">
      <c r="F279" s="135"/>
      <c r="I279" s="11"/>
      <c r="R279" s="11"/>
    </row>
    <row r="280" spans="1:18" x14ac:dyDescent="0.2">
      <c r="F280" s="135"/>
      <c r="I280" s="11"/>
      <c r="R280" s="11"/>
    </row>
    <row r="281" spans="1:18" x14ac:dyDescent="0.2">
      <c r="F281" s="135"/>
      <c r="I281" s="11"/>
      <c r="R281" s="11"/>
    </row>
    <row r="282" spans="1:18" x14ac:dyDescent="0.2">
      <c r="F282" s="135"/>
      <c r="I282" s="11"/>
      <c r="R282" s="11"/>
    </row>
    <row r="283" spans="1:18" x14ac:dyDescent="0.2">
      <c r="F283" s="135"/>
      <c r="I283" s="11"/>
      <c r="R283" s="11"/>
    </row>
    <row r="284" spans="1:18" x14ac:dyDescent="0.2">
      <c r="F284" s="135"/>
      <c r="I284" s="11"/>
      <c r="R284" s="11"/>
    </row>
    <row r="285" spans="1:18" x14ac:dyDescent="0.2">
      <c r="A285" s="132"/>
      <c r="F285" s="135"/>
      <c r="I285" s="11"/>
      <c r="R285" s="11"/>
    </row>
    <row r="286" spans="1:18" x14ac:dyDescent="0.2">
      <c r="F286" s="135"/>
      <c r="I286" s="11"/>
      <c r="R286" s="11"/>
    </row>
    <row r="287" spans="1:18" x14ac:dyDescent="0.2">
      <c r="F287" s="135"/>
      <c r="I287" s="11"/>
      <c r="R287" s="11"/>
    </row>
  </sheetData>
  <autoFilter ref="A1:CM287" xr:uid="{A1EFB28E-F9C0-4B47-84E5-863DEA3130A5}"/>
  <sortState xmlns:xlrd2="http://schemas.microsoft.com/office/spreadsheetml/2017/richdata2" ref="A2:G287">
    <sortCondition ref="A2:A287"/>
    <sortCondition ref="B2:B287"/>
    <sortCondition ref="C2:C287"/>
    <sortCondition ref="D2:D287"/>
    <sortCondition ref="E2:E287"/>
  </sortState>
  <phoneticPr fontId="2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M23"/>
  <sheetViews>
    <sheetView zoomScale="85" workbookViewId="0">
      <selection activeCell="A8" sqref="A8"/>
    </sheetView>
  </sheetViews>
  <sheetFormatPr defaultRowHeight="12.75" x14ac:dyDescent="0.2"/>
  <cols>
    <col min="1" max="1" width="15.5703125" customWidth="1"/>
    <col min="4" max="4" width="10" bestFit="1" customWidth="1"/>
  </cols>
  <sheetData>
    <row r="1" spans="1:13" s="1" customFormat="1" x14ac:dyDescent="0.2">
      <c r="A1" s="10">
        <f>'Guia Receita'!Total</f>
        <v>0</v>
      </c>
      <c r="B1" t="s">
        <v>13</v>
      </c>
      <c r="C1" s="11">
        <v>0</v>
      </c>
      <c r="D1" s="11">
        <f>ROUNDDOWN(F1/10,0)</f>
        <v>0</v>
      </c>
      <c r="E1" s="11">
        <f>F1-D1*10</f>
        <v>0</v>
      </c>
      <c r="F1" s="11">
        <f>H1</f>
        <v>0</v>
      </c>
      <c r="G1" s="11">
        <f>A1-A2*1000000-A3*1000-A4</f>
        <v>0</v>
      </c>
      <c r="H1" s="11">
        <f>ROUND(G1*100,0)</f>
        <v>0</v>
      </c>
    </row>
    <row r="2" spans="1:13" x14ac:dyDescent="0.2">
      <c r="A2">
        <f>INT(A1/1000000)</f>
        <v>0</v>
      </c>
      <c r="B2" t="str">
        <f>IF(A2&lt;1,"",IF(A2=1,"milhão ","milhões "))</f>
        <v/>
      </c>
      <c r="C2">
        <f>INT(A2/100)</f>
        <v>0</v>
      </c>
      <c r="D2">
        <f>INT((A2-C2*100)/10)</f>
        <v>0</v>
      </c>
      <c r="E2">
        <f>INT(A2-C2*100-D2*10)</f>
        <v>0</v>
      </c>
      <c r="F2">
        <f>A2-C2*100</f>
        <v>0</v>
      </c>
    </row>
    <row r="3" spans="1:13" x14ac:dyDescent="0.2">
      <c r="A3">
        <f>INT((A1-A2*1000000)/1000)</f>
        <v>0</v>
      </c>
      <c r="B3" t="str">
        <f>IF(A3&gt;0,"mil ","")</f>
        <v/>
      </c>
      <c r="C3">
        <f>INT(A3/100)</f>
        <v>0</v>
      </c>
      <c r="D3">
        <f>INT((A3-C3*100)/10)</f>
        <v>0</v>
      </c>
      <c r="E3">
        <f>INT(A3-C3*100-D3*10)</f>
        <v>0</v>
      </c>
      <c r="F3">
        <f>A3-C3*100</f>
        <v>0</v>
      </c>
    </row>
    <row r="4" spans="1:13" x14ac:dyDescent="0.2">
      <c r="A4">
        <f>FLOOR(A1-A2*1000000-A3*1000,1)</f>
        <v>0</v>
      </c>
      <c r="B4" t="str">
        <f>IF(A1&gt;0,"euros ","")</f>
        <v/>
      </c>
      <c r="C4">
        <f>INT(A4/100)</f>
        <v>0</v>
      </c>
      <c r="D4">
        <f>INT((A4-C4*100)/10)</f>
        <v>0</v>
      </c>
      <c r="E4">
        <f>INT(A4-C4*100-D4*10)</f>
        <v>0</v>
      </c>
      <c r="F4">
        <f>INT(A4-C4*100)</f>
        <v>0</v>
      </c>
    </row>
    <row r="5" spans="1:13" x14ac:dyDescent="0.2">
      <c r="B5" t="str">
        <f>IF(A1&lt;2,"euro ",B4)</f>
        <v xml:space="preserve">euro </v>
      </c>
      <c r="C5" s="324" t="s">
        <v>8</v>
      </c>
      <c r="D5" s="327"/>
      <c r="E5" s="325"/>
      <c r="F5" s="324" t="s">
        <v>9</v>
      </c>
      <c r="G5" s="327"/>
      <c r="H5" s="325"/>
      <c r="I5" s="324" t="s">
        <v>10</v>
      </c>
      <c r="J5" s="327"/>
      <c r="K5" s="325"/>
      <c r="L5" s="324" t="s">
        <v>13</v>
      </c>
      <c r="M5" s="325"/>
    </row>
    <row r="6" spans="1:13" x14ac:dyDescent="0.2">
      <c r="B6" t="str">
        <f>IF(A3+A4=0,"de euros ",B5)</f>
        <v xml:space="preserve">de euros </v>
      </c>
      <c r="C6" s="9" t="str">
        <f>IF($A$2=100,"cem ",IF($C$2=1,"cento ",""))</f>
        <v/>
      </c>
      <c r="D6" s="2" t="str">
        <f>IF(D2&gt;0,IF(F2=10,"dez ",IF(F2&lt;10,"","onze ")),"")</f>
        <v/>
      </c>
      <c r="E6" s="3" t="str">
        <f>IF(D2&lt;&gt;1,"um ","")</f>
        <v xml:space="preserve">um </v>
      </c>
      <c r="F6" s="2" t="str">
        <f>IF($A$3=100,"cem ",IF(C$3=1,"cento ",""))</f>
        <v/>
      </c>
      <c r="G6" s="2" t="str">
        <f>IF(D3&gt;0,IF(F3=10,"dez ",IF(F3&lt;10,"","onze ")),"")</f>
        <v/>
      </c>
      <c r="H6" s="3" t="str">
        <f>IF($D$3&lt;&gt;1,"um ","")</f>
        <v xml:space="preserve">um </v>
      </c>
      <c r="I6" s="9" t="str">
        <f>IF($A$4=100,"cem ",IF($C$4=1,"cento ",""))</f>
        <v/>
      </c>
      <c r="J6" s="2" t="str">
        <f>IF(D4&gt;0,IF(F4=10,"dez ",IF(F4&lt;10,"","onze ")),"")</f>
        <v/>
      </c>
      <c r="K6" s="3" t="str">
        <f>IF($D$4&lt;&gt;1,"um ","")</f>
        <v xml:space="preserve">um </v>
      </c>
      <c r="L6" s="9" t="str">
        <f>IF(D1&gt;0,IF(F1=10,"dez ",IF(F1&lt;10,"","onze ")),"")</f>
        <v/>
      </c>
      <c r="M6" s="3" t="str">
        <f>IF($D$1&lt;&gt;1,"um ","")</f>
        <v xml:space="preserve">um </v>
      </c>
    </row>
    <row r="7" spans="1:13" x14ac:dyDescent="0.2">
      <c r="B7" t="str">
        <f>IF(A1&lt;1,"",B6)</f>
        <v/>
      </c>
      <c r="C7" s="4" t="str">
        <f>IF($C$2=2,"duzentos ",C6)</f>
        <v/>
      </c>
      <c r="D7" t="str">
        <f>IF(D6="onze ",IF($E$2=2,"doze ",D6),D6)</f>
        <v/>
      </c>
      <c r="E7" s="5" t="str">
        <f>IF(E6="um ",IF($E$2=2,"dois ",E6),E6)</f>
        <v xml:space="preserve">um </v>
      </c>
      <c r="F7" t="str">
        <f>IF(C$3=2,"duzentos ",F6)</f>
        <v/>
      </c>
      <c r="G7" t="str">
        <f>IF(G6="onze ",IF($E$3=2,"doze ",G6),G6)</f>
        <v/>
      </c>
      <c r="H7" s="5" t="str">
        <f>IF(H6="um ",IF($E$3=2,"dois ",H6),H6)</f>
        <v xml:space="preserve">um </v>
      </c>
      <c r="I7" s="4" t="str">
        <f>IF($C$4=2,"duzentos ",I6)</f>
        <v/>
      </c>
      <c r="J7" t="str">
        <f>IF(J6="onze ",IF($E$4=2,"doze ",J6),J6)</f>
        <v/>
      </c>
      <c r="K7" s="5" t="str">
        <f>IF(K6="um ",IF($E$4=2,"dois ",K6),K6)</f>
        <v xml:space="preserve">um </v>
      </c>
      <c r="L7" t="str">
        <f>IF(L6="onze ",IF(E1=2,"doze ",L6),L6)</f>
        <v/>
      </c>
      <c r="M7" s="5" t="str">
        <f>IF(M6="um ",IF($E$1=2,"dois ",M6),M6)</f>
        <v xml:space="preserve">um </v>
      </c>
    </row>
    <row r="8" spans="1:13" x14ac:dyDescent="0.2">
      <c r="A8" s="39">
        <f ca="1">IF('Dados mestre'!F15&gt;0,'Dados mestre'!F15,NOW())</f>
        <v>45474.484599652802</v>
      </c>
      <c r="B8" t="str">
        <f>IF(G1&gt;0,IF(A1&gt;=1,"e ",""),"")</f>
        <v/>
      </c>
      <c r="C8" s="4" t="str">
        <f>IF(C$2=3,"trezentos ",C7)</f>
        <v/>
      </c>
      <c r="D8" t="str">
        <f>IF(D7="onze ",IF($E$2=3,"treze ",D7),D7)</f>
        <v/>
      </c>
      <c r="E8" s="5" t="str">
        <f>IF(E7="um ",IF($E$2=3,"três ",E7),E7)</f>
        <v xml:space="preserve">um </v>
      </c>
      <c r="F8" t="str">
        <f>IF(C$3=3,"trezentos ",F7)</f>
        <v/>
      </c>
      <c r="G8" t="str">
        <f>IF(G7="onze ",IF($E$3=3,"treze ",G7),G7)</f>
        <v/>
      </c>
      <c r="H8" s="5" t="str">
        <f>IF(H7="um ",IF($E$3=3,"três ",H7),H7)</f>
        <v xml:space="preserve">um </v>
      </c>
      <c r="I8" s="4" t="str">
        <f>IF($C$4=3,"trezentos ",I7)</f>
        <v/>
      </c>
      <c r="J8" t="str">
        <f>IF(J7="onze ",IF($E$4=3,"treze ",J7),J7)</f>
        <v/>
      </c>
      <c r="K8" s="5" t="str">
        <f>IF(K7="um ",IF($E$4=3,"três ",K7),K7)</f>
        <v xml:space="preserve">um </v>
      </c>
      <c r="L8" t="str">
        <f>IF(L7="onze ",IF(E1=3,"treze ",L7),L7)</f>
        <v/>
      </c>
      <c r="M8" s="5" t="str">
        <f>IF(M7="um ",IF($E$1=3,"três ",M7),M7)</f>
        <v xml:space="preserve">um </v>
      </c>
    </row>
    <row r="9" spans="1:13" x14ac:dyDescent="0.2">
      <c r="A9" t="str">
        <f ca="1">TEXT(A8,"aaaa")</f>
        <v>2024</v>
      </c>
      <c r="B9" t="str">
        <f>IF($G$1&gt;0,"cêntimos","")</f>
        <v/>
      </c>
      <c r="C9" s="4" t="str">
        <f>IF(C$2=4,"quatrocentos ",C8)</f>
        <v/>
      </c>
      <c r="D9" t="str">
        <f>IF(D8="onze ",IF($E$2=4,"catorze ",D8),D8)</f>
        <v/>
      </c>
      <c r="E9" s="5" t="str">
        <f>IF(E8="um ",IF($E$2=4,"quatro ",E8),E8)</f>
        <v xml:space="preserve">um </v>
      </c>
      <c r="F9" t="str">
        <f>IF(C$3=4,"quatrocentos ",F8)</f>
        <v/>
      </c>
      <c r="G9" t="str">
        <f>IF(G8="onze ",IF($E$3=4,"catorze ",G8),G8)</f>
        <v/>
      </c>
      <c r="H9" s="5" t="str">
        <f>IF(H8="um ",IF($E$3=4,"quatro ",H8),H8)</f>
        <v xml:space="preserve">um </v>
      </c>
      <c r="I9" s="4" t="str">
        <f>IF($C$4=4,"quatrocentos ",I8)</f>
        <v/>
      </c>
      <c r="J9" t="str">
        <f>IF(J8="onze ",IF($E$4=4,"catorze ",J8),J8)</f>
        <v/>
      </c>
      <c r="K9" s="5" t="str">
        <f>IF(K8="um ",IF($E$4=4,"quatro ",K8),K8)</f>
        <v xml:space="preserve">um </v>
      </c>
      <c r="L9" t="str">
        <f>IF(L8="onze ",IF($E$1=4,"catorze ",L8),L8)</f>
        <v/>
      </c>
      <c r="M9" s="5" t="str">
        <f>IF(M8="um ",IF($E$1=4,"quatro ",M8),M8)</f>
        <v xml:space="preserve">um </v>
      </c>
    </row>
    <row r="10" spans="1:13" x14ac:dyDescent="0.2">
      <c r="A10" t="str">
        <f ca="1">TEXT($A$8,"d")</f>
        <v>1</v>
      </c>
      <c r="B10" t="str">
        <f>IF($F$1=1,"cêntimo",B9)</f>
        <v/>
      </c>
      <c r="C10" s="4" t="str">
        <f>IF(C$2=5,"quinhentos ",C9)</f>
        <v/>
      </c>
      <c r="D10" t="str">
        <f>IF(D9="onze ",IF($E$2=5,"quinze ",D9),D9)</f>
        <v/>
      </c>
      <c r="E10" s="5" t="str">
        <f>IF(E9="um ",IF($E$2=5,"cinco ",E9),E9)</f>
        <v xml:space="preserve">um </v>
      </c>
      <c r="F10" t="str">
        <f>IF(C$3=5,"quinhentos ",F9)</f>
        <v/>
      </c>
      <c r="G10" t="str">
        <f>IF(G9="onze ",IF($E$3=5,"quinze ",G9),G9)</f>
        <v/>
      </c>
      <c r="H10" s="5" t="str">
        <f>IF(H9="um ",IF($E$3=5,"cinco ",H9),H9)</f>
        <v xml:space="preserve">um </v>
      </c>
      <c r="I10" s="4" t="str">
        <f>IF($C$4=5,"quinhentos ",I9)</f>
        <v/>
      </c>
      <c r="J10" t="str">
        <f>IF(J9="onze ",IF($E$4=5,"quinze ",J9),J9)</f>
        <v/>
      </c>
      <c r="K10" s="5" t="str">
        <f>IF(K9="um ",IF($E$4=5,"cinco ",K9),K9)</f>
        <v xml:space="preserve">um </v>
      </c>
      <c r="L10" t="str">
        <f>IF(L9="onze ",IF($E$1=5,"quinze ",L9),L9)</f>
        <v/>
      </c>
      <c r="M10" s="5" t="str">
        <f>IF(M9="um ",IF($E$1=5,"cinco ",M9),M9)</f>
        <v xml:space="preserve">um </v>
      </c>
    </row>
    <row r="11" spans="1:13" x14ac:dyDescent="0.2">
      <c r="A11" t="str">
        <f ca="1">TEXT($A$8,"mmmm")</f>
        <v>julho</v>
      </c>
      <c r="C11" s="4" t="str">
        <f>IF(C$2=6,"seiscentos ",C10)</f>
        <v/>
      </c>
      <c r="D11" t="str">
        <f>IF(D10="onze ",IF($E$2=6,"dezasseis ",D10),D10)</f>
        <v/>
      </c>
      <c r="E11" s="5" t="str">
        <f>IF(E10="um ",IF($E$2=6,"seis ",E10),E10)</f>
        <v xml:space="preserve">um </v>
      </c>
      <c r="F11" t="str">
        <f>IF(C$3=6,"seiscentos ",F10)</f>
        <v/>
      </c>
      <c r="G11" t="str">
        <f>IF(G10="onze ",IF($E$3=6,"dezasseis ",G10),G10)</f>
        <v/>
      </c>
      <c r="H11" s="5" t="str">
        <f>IF(H10="um ",IF($E$3=6,"seis ",H10),H10)</f>
        <v xml:space="preserve">um </v>
      </c>
      <c r="I11" s="4" t="str">
        <f>IF($C$4=6,"seiscentos ",I10)</f>
        <v/>
      </c>
      <c r="J11" t="str">
        <f>IF(J10="onze ",IF($E$4=6,"dezasseis ",J10),J10)</f>
        <v/>
      </c>
      <c r="K11" s="5" t="str">
        <f>IF(K10="um ",IF($E$4=6,"seis ",K10),K10)</f>
        <v xml:space="preserve">um </v>
      </c>
      <c r="L11" t="str">
        <f>IF(L10="onze ",IF($E$1=6,"dezasseis ",L10),L10)</f>
        <v/>
      </c>
      <c r="M11" s="5" t="str">
        <f>IF(M10="um ",IF($E$1=6,"seis ",M10),M10)</f>
        <v xml:space="preserve">um </v>
      </c>
    </row>
    <row r="12" spans="1:13" x14ac:dyDescent="0.2">
      <c r="C12" s="4" t="str">
        <f>IF(C$2=7,"setecentos ",C11)</f>
        <v/>
      </c>
      <c r="D12" t="str">
        <f>IF(D11="onze ",IF($E$2=7,"dezassete ",D11),D11)</f>
        <v/>
      </c>
      <c r="E12" s="5" t="str">
        <f>IF(E11="um ",IF($E$2=7,"sete ",E11),E11)</f>
        <v xml:space="preserve">um </v>
      </c>
      <c r="F12" t="str">
        <f>IF(C$3=7,"setecentos ",F11)</f>
        <v/>
      </c>
      <c r="G12" t="str">
        <f>IF(G11="onze ",IF($E$3=7,"dezassete ",G11),G11)</f>
        <v/>
      </c>
      <c r="H12" s="5" t="str">
        <f>IF(H11="um ",IF($E$3=7,"sete ",H11),H11)</f>
        <v xml:space="preserve">um </v>
      </c>
      <c r="I12" s="4" t="str">
        <f>IF($C$4=7,"setecentos ",I11)</f>
        <v/>
      </c>
      <c r="J12" t="str">
        <f>IF(J11="onze ",IF($E$4=7,"dezassete ",J11),J11)</f>
        <v/>
      </c>
      <c r="K12" s="5" t="str">
        <f>IF(K11="um ",IF($E$4=7,"sete ",K11),K11)</f>
        <v xml:space="preserve">um </v>
      </c>
      <c r="L12" t="str">
        <f>IF(L11="onze ",IF($E$1=7,"dezassete ",L11),L11)</f>
        <v/>
      </c>
      <c r="M12" s="5" t="str">
        <f>IF(M11="um ",IF($E$1=7,"sete ",M11),M11)</f>
        <v xml:space="preserve">um </v>
      </c>
    </row>
    <row r="13" spans="1:13" x14ac:dyDescent="0.2">
      <c r="C13" s="4" t="str">
        <f>IF(C$2=8,"oitocentos ",C12)</f>
        <v/>
      </c>
      <c r="D13" t="str">
        <f>IF(D12="onze ",IF($E$2=8,"dezoito ",D12),D12)</f>
        <v/>
      </c>
      <c r="E13" s="5" t="str">
        <f>IF(E12="um ",IF($E$2=8,"oito ",E12),E12)</f>
        <v xml:space="preserve">um </v>
      </c>
      <c r="F13" t="str">
        <f>IF(C$3=8,"oitocentos ",F12)</f>
        <v/>
      </c>
      <c r="G13" t="str">
        <f>IF(G12="onze ",IF($E$3=8,"dezoito ",G12),G12)</f>
        <v/>
      </c>
      <c r="H13" s="5" t="str">
        <f>IF(H12="um ",IF($E$3=8,"oito ",H12),H12)</f>
        <v xml:space="preserve">um </v>
      </c>
      <c r="I13" s="4" t="str">
        <f>IF($C$4=8,"oitocentos ",I12)</f>
        <v/>
      </c>
      <c r="J13" t="str">
        <f>IF(J12="onze ",IF($E$4=8,"dezoito ",J12),J12)</f>
        <v/>
      </c>
      <c r="K13" s="5" t="str">
        <f>IF(K12="um ",IF($E$4=8,"oito ",K12),K12)</f>
        <v xml:space="preserve">um </v>
      </c>
      <c r="L13" t="str">
        <f>IF(L12="onze ",IF($E$1=8,"dezoito ",L12),L12)</f>
        <v/>
      </c>
      <c r="M13" s="5" t="str">
        <f>IF(M12="um ",IF($E$1=8,"oito ",M12),M12)</f>
        <v xml:space="preserve">um </v>
      </c>
    </row>
    <row r="14" spans="1:13" x14ac:dyDescent="0.2">
      <c r="C14" s="4" t="str">
        <f>IF(C$2=9,"novecentos ",C13)</f>
        <v/>
      </c>
      <c r="D14" t="str">
        <f>IF(D13="onze ",IF($E$2=9,"dezanove ",D13),D13)</f>
        <v/>
      </c>
      <c r="E14" s="5" t="str">
        <f>IF(E13="um ",IF($E$2=9,"nove ",E13),E13)</f>
        <v xml:space="preserve">um </v>
      </c>
      <c r="F14" t="str">
        <f>IF(C$3=9,"novecentos ",F13)</f>
        <v/>
      </c>
      <c r="G14" t="str">
        <f>IF(G13="onze ",IF($E$3=9,"dezanove ",G13),G13)</f>
        <v/>
      </c>
      <c r="H14" s="5" t="str">
        <f>IF(H13="um ",IF($E$3=9,"nove ",H13),H13)</f>
        <v xml:space="preserve">um </v>
      </c>
      <c r="I14" s="4" t="str">
        <f>IF($C$4=9,"novecentos ",I13)</f>
        <v/>
      </c>
      <c r="J14" t="str">
        <f>IF(J13="onze ",IF($E$4=9,"dezanove ",J13),J13)</f>
        <v/>
      </c>
      <c r="K14" s="5" t="str">
        <f>IF(K13="um ",IF($E$4=9,"nove ",K13),K13)</f>
        <v xml:space="preserve">um </v>
      </c>
      <c r="L14" t="str">
        <f>IF(L13="onze ",IF($E$1=9,"dezanove ",L13),L13)</f>
        <v/>
      </c>
      <c r="M14" s="5" t="str">
        <f>IF(M13="um ",IF($E$1=9,"nove ",M13),M13)</f>
        <v xml:space="preserve">um </v>
      </c>
    </row>
    <row r="15" spans="1:13" x14ac:dyDescent="0.2">
      <c r="C15" s="4"/>
      <c r="D15" t="str">
        <f>IF($F$2&gt;19,IF($D$2=2,"vinte ",D14),D14)</f>
        <v/>
      </c>
      <c r="E15" s="5" t="str">
        <f>IF(E2=0,"",E14)</f>
        <v/>
      </c>
      <c r="G15" t="str">
        <f>IF($F$3&gt;19,IF($D$3=2,"vinte ",G14),G14)</f>
        <v/>
      </c>
      <c r="H15" s="5" t="str">
        <f>IF($E$3=0,"",H14)</f>
        <v/>
      </c>
      <c r="I15" s="4"/>
      <c r="J15" t="str">
        <f>IF($F$4&gt;19,IF($D$4=2,"vinte ",J14),J14)</f>
        <v/>
      </c>
      <c r="K15" s="5" t="str">
        <f>IF($E$4=0,"",K14)</f>
        <v/>
      </c>
      <c r="L15" t="str">
        <f>IF($F$1&gt;19,IF($D$1=2,"vinte ",L14),L14)</f>
        <v/>
      </c>
      <c r="M15" s="5" t="str">
        <f>IF($E$1=0,"",M14)</f>
        <v/>
      </c>
    </row>
    <row r="16" spans="1:13" x14ac:dyDescent="0.2">
      <c r="C16" s="4"/>
      <c r="D16" t="str">
        <f>IF($F$2&gt;19,IF($D$2=3,"trinta ",D15),D15)</f>
        <v/>
      </c>
      <c r="E16" s="5"/>
      <c r="G16" t="str">
        <f>IF($F$3&gt;19,IF($D$3=3,"trinta ",G15),G15)</f>
        <v/>
      </c>
      <c r="H16" s="5" t="str">
        <f>IF($E$3=1,IF(D3+C3=0,"",H15),H15)</f>
        <v/>
      </c>
      <c r="I16" s="4"/>
      <c r="J16" t="str">
        <f>IF($F$4&gt;19,IF($D$4=3,"trinta ",J15),J15)</f>
        <v/>
      </c>
      <c r="K16" s="5"/>
      <c r="L16" t="str">
        <f>IF($F$1&gt;19,IF($D$1=3,"trinta ",L15),L15)</f>
        <v/>
      </c>
      <c r="M16" s="5"/>
    </row>
    <row r="17" spans="1:13" x14ac:dyDescent="0.2">
      <c r="C17" s="4"/>
      <c r="D17" t="str">
        <f>IF($F$2&gt;19,IF($D$2=4,"quarenta ",D16),D16)</f>
        <v/>
      </c>
      <c r="E17" s="5"/>
      <c r="G17" t="str">
        <f>IF($F$3&gt;19,IF($D$3=4,"quarenta ",G16),G16)</f>
        <v/>
      </c>
      <c r="H17" s="5"/>
      <c r="I17" s="4"/>
      <c r="J17" t="str">
        <f>IF($F$4&gt;19,IF($D$4=4,"quarenta ",J16),J16)</f>
        <v/>
      </c>
      <c r="K17" s="5"/>
      <c r="L17" t="str">
        <f>IF($F$1&gt;19,IF($D$1=4,"quarenta ",L16),L16)</f>
        <v/>
      </c>
      <c r="M17" s="5"/>
    </row>
    <row r="18" spans="1:13" x14ac:dyDescent="0.2">
      <c r="C18" s="4"/>
      <c r="D18" t="str">
        <f>IF($F$2&gt;19,IF($D$2=5,"cinquenta ",D17),D17)</f>
        <v/>
      </c>
      <c r="E18" s="5"/>
      <c r="G18" t="str">
        <f>IF($F$3&gt;19,IF($D$3=5,"cinquenta ",G17),G17)</f>
        <v/>
      </c>
      <c r="H18" s="5"/>
      <c r="I18" s="4"/>
      <c r="J18" t="str">
        <f>IF($F$4&gt;19,IF($D$4=5,"cinquenta ",J17),J17)</f>
        <v/>
      </c>
      <c r="K18" s="5"/>
      <c r="L18" t="str">
        <f>IF($F$1&gt;19,IF($D$1=5,"cinquenta ",L17),L17)</f>
        <v/>
      </c>
      <c r="M18" s="5"/>
    </row>
    <row r="19" spans="1:13" x14ac:dyDescent="0.2">
      <c r="C19" s="4"/>
      <c r="D19" t="str">
        <f>IF($F$2&gt;19,IF($D$2=6,"sessenta ",D18),D18)</f>
        <v/>
      </c>
      <c r="E19" s="5"/>
      <c r="G19" t="str">
        <f>IF($F$3&gt;19,IF($D$3=6,"sessenta ",G18),G18)</f>
        <v/>
      </c>
      <c r="H19" s="5"/>
      <c r="I19" s="4"/>
      <c r="J19" t="str">
        <f>IF($F$4&gt;19,IF($D$4=6,"sessenta ",J18),J18)</f>
        <v/>
      </c>
      <c r="K19" s="5"/>
      <c r="L19" t="str">
        <f>IF($F$1&gt;19,IF($D$1=6,"sessenta ",L18),L18)</f>
        <v/>
      </c>
      <c r="M19" s="5"/>
    </row>
    <row r="20" spans="1:13" x14ac:dyDescent="0.2">
      <c r="C20" s="4"/>
      <c r="D20" t="str">
        <f>IF($F$2&gt;19,IF($D$2=7,"setenta ",D19),D19)</f>
        <v/>
      </c>
      <c r="E20" s="5"/>
      <c r="G20" t="str">
        <f>IF($F$3&gt;19,IF($D$3=7,"setenta ",G19),G19)</f>
        <v/>
      </c>
      <c r="H20" s="5"/>
      <c r="I20" s="4"/>
      <c r="J20" t="str">
        <f>IF($F$4&gt;19,IF($D$4=7,"setenta ",J19),J19)</f>
        <v/>
      </c>
      <c r="K20" s="5"/>
      <c r="L20" t="str">
        <f>IF($F$1&gt;19,IF($D$1=7,"setenta ",L19),L19)</f>
        <v/>
      </c>
      <c r="M20" s="5"/>
    </row>
    <row r="21" spans="1:13" x14ac:dyDescent="0.2">
      <c r="C21" s="4"/>
      <c r="D21" t="str">
        <f>IF($F$2&gt;19,IF($D$2=8,"oitenta ",D20),D20)</f>
        <v/>
      </c>
      <c r="E21" s="5"/>
      <c r="G21" t="str">
        <f>IF($F$3&gt;19,IF($D$3=8,"oitenta ",G20),G20)</f>
        <v/>
      </c>
      <c r="H21" s="5"/>
      <c r="I21" s="4"/>
      <c r="J21" t="str">
        <f>IF($F$4&gt;19,IF($D$4=8,"oitenta ",J20),J20)</f>
        <v/>
      </c>
      <c r="K21" s="5"/>
      <c r="L21" t="str">
        <f>IF($F$1&gt;19,IF($D$1=8,"oitenta ",L20),L20)</f>
        <v/>
      </c>
      <c r="M21" s="5"/>
    </row>
    <row r="22" spans="1:13" x14ac:dyDescent="0.2">
      <c r="C22" s="6"/>
      <c r="D22" s="7" t="str">
        <f>IF($F$2&gt;19,IF($D$2=9,"noventa ",D21),D21)</f>
        <v/>
      </c>
      <c r="E22" s="8"/>
      <c r="F22" s="7"/>
      <c r="G22" t="str">
        <f>IF($F$3&gt;19,IF($D$3=9,"noventa ",G21),G21)</f>
        <v/>
      </c>
      <c r="H22" s="8"/>
      <c r="I22" s="6"/>
      <c r="J22" s="7" t="str">
        <f>IF($F$4&gt;19,IF($D$4=9,"noventa ",J21),J21)</f>
        <v/>
      </c>
      <c r="K22" s="8"/>
      <c r="L22" s="7" t="str">
        <f>IF($F$1&gt;19,IF($D$1=9,"noventa ",L21),L21)</f>
        <v/>
      </c>
      <c r="M22" s="8"/>
    </row>
    <row r="23" spans="1:13" x14ac:dyDescent="0.2">
      <c r="A23" s="326" t="str">
        <f>C14&amp;D22&amp;E15&amp;B2&amp;F14&amp;G22&amp;H16&amp;B3&amp;I14&amp;J22&amp;K15&amp;B7&amp;B8&amp;L22&amp;M15&amp;B10</f>
        <v/>
      </c>
      <c r="B23" s="326"/>
      <c r="C23" s="326"/>
      <c r="D23" s="326"/>
      <c r="E23" s="326"/>
      <c r="F23" s="326"/>
      <c r="G23" s="326"/>
      <c r="H23" s="326"/>
      <c r="I23" s="326"/>
      <c r="J23" s="326"/>
      <c r="K23" s="326"/>
    </row>
  </sheetData>
  <mergeCells count="5">
    <mergeCell ref="L5:M5"/>
    <mergeCell ref="A23:K23"/>
    <mergeCell ref="C5:E5"/>
    <mergeCell ref="F5:H5"/>
    <mergeCell ref="I5:K5"/>
  </mergeCells>
  <phoneticPr fontId="0" type="noConversion"/>
  <pageMargins left="0.75" right="0.75" top="1" bottom="1" header="0" footer="0"/>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605A5FD8F6C74A920E4AE5658FB598" ma:contentTypeVersion="2" ma:contentTypeDescription="Criar um novo documento." ma:contentTypeScope="" ma:versionID="7ecaa6a51b1229a043292b1f1766818a">
  <xsd:schema xmlns:xsd="http://www.w3.org/2001/XMLSchema" xmlns:xs="http://www.w3.org/2001/XMLSchema" xmlns:p="http://schemas.microsoft.com/office/2006/metadata/properties" xmlns:ns2="c7da77ff-cd2d-4857-b670-5bbc6aa35e5c" targetNamespace="http://schemas.microsoft.com/office/2006/metadata/properties" ma:root="true" ma:fieldsID="9e6088ce860798bfb0bf749259762986" ns2:_="">
    <xsd:import namespace="c7da77ff-cd2d-4857-b670-5bbc6aa35e5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da77ff-cd2d-4857-b670-5bbc6aa35e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EDE6085-3DC0-412F-A8B9-141C3F5BD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da77ff-cd2d-4857-b670-5bbc6aa35e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400FAE-1AE2-463E-81F9-65E75586AA08}">
  <ds:schemaRefs>
    <ds:schemaRef ds:uri="http://schemas.microsoft.com/sharepoint/v3/contenttype/forms"/>
  </ds:schemaRefs>
</ds:datastoreItem>
</file>

<file path=customXml/itemProps3.xml><?xml version="1.0" encoding="utf-8"?>
<ds:datastoreItem xmlns:ds="http://schemas.openxmlformats.org/officeDocument/2006/customXml" ds:itemID="{332D298E-2347-498A-94D6-8FA8CC2EAA7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7da77ff-cd2d-4857-b670-5bbc6aa35e5c"/>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2</vt:i4>
      </vt:variant>
    </vt:vector>
  </HeadingPairs>
  <TitlesOfParts>
    <vt:vector size="10" baseType="lpstr">
      <vt:lpstr>Guia Receita</vt:lpstr>
      <vt:lpstr>Dados mestre</vt:lpstr>
      <vt:lpstr>Capítulos</vt:lpstr>
      <vt:lpstr>Itens Financeiros</vt:lpstr>
      <vt:lpstr>Instruções de preencimento</vt:lpstr>
      <vt:lpstr>Exemplo</vt:lpstr>
      <vt:lpstr>Folha1 (2)</vt:lpstr>
      <vt:lpstr>Extensos Euros</vt:lpstr>
      <vt:lpstr>'Guia Receita'!Área_de_Impressão</vt:lpstr>
      <vt:lpstr>'Guia Receita'!Total</vt:lpstr>
    </vt:vector>
  </TitlesOfParts>
  <Company>Pre-installed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Henriques</dc:creator>
  <cp:lastModifiedBy>Carlos FS. Henriques</cp:lastModifiedBy>
  <cp:lastPrinted>2022-12-05T18:05:14Z</cp:lastPrinted>
  <dcterms:created xsi:type="dcterms:W3CDTF">1998-11-27T10:41:31Z</dcterms:created>
  <dcterms:modified xsi:type="dcterms:W3CDTF">2024-07-01T11:38:04Z</dcterms:modified>
</cp:coreProperties>
</file>