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726" documentId="14_{EE549957-FA9A-4305-BE9A-7F3B2E3E2401}" xr6:coauthVersionLast="47" xr6:coauthVersionMax="47" xr10:uidLastSave="{61CC18C1-552C-4553-BC8E-034DF16A78C4}"/>
  <bookViews>
    <workbookView xWindow="8340" yWindow="2910" windowWidth="28800" windowHeight="15345" activeTab="1" xr2:uid="{00000000-000D-0000-FFFF-FFFF00000000}"/>
  </bookViews>
  <sheets>
    <sheet name="Condições de Financiamento MLP" sheetId="12" r:id="rId1"/>
    <sheet name="Condições de Financiamento CP" sheetId="13" r:id="rId2"/>
  </sheets>
  <definedNames>
    <definedName name="_xlnm._FilterDatabase" localSheetId="0" hidden="1">'Condições de Financiamento MLP'!$B$3:$AI$152</definedName>
    <definedName name="_xlnm.Print_Area" localSheetId="1">'Condições de Financiamento CP'!$B$44:$N$47</definedName>
    <definedName name="_xlnm.Print_Area" localSheetId="0">'Condições de Financiamento MLP'!$B$2:$AG$152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6" i="12" l="1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O146" i="12"/>
  <c r="N146" i="12"/>
  <c r="M146" i="12"/>
  <c r="L146" i="12"/>
  <c r="K146" i="12"/>
  <c r="J146" i="12"/>
  <c r="I146" i="12"/>
  <c r="D146" i="12"/>
  <c r="L89" i="12"/>
  <c r="L90" i="12"/>
  <c r="L79" i="13"/>
  <c r="L78" i="13"/>
  <c r="L77" i="13"/>
  <c r="L52" i="13"/>
  <c r="L50" i="13"/>
  <c r="L49" i="13"/>
  <c r="L48" i="13"/>
  <c r="L46" i="13"/>
  <c r="L45" i="13"/>
  <c r="L44" i="13"/>
  <c r="L15" i="13"/>
  <c r="L14" i="13"/>
  <c r="L12" i="13"/>
  <c r="O142" i="12"/>
  <c r="L142" i="12"/>
  <c r="L140" i="12"/>
  <c r="L130" i="12"/>
  <c r="L129" i="12"/>
  <c r="L128" i="12"/>
  <c r="L127" i="12"/>
  <c r="L126" i="12"/>
  <c r="L125" i="12"/>
  <c r="L124" i="12"/>
  <c r="L123" i="12"/>
  <c r="L122" i="12"/>
  <c r="L121" i="12"/>
  <c r="L120" i="12"/>
  <c r="L119" i="12"/>
  <c r="O130" i="12"/>
  <c r="L88" i="12"/>
  <c r="L87" i="12"/>
  <c r="L86" i="12"/>
  <c r="O84" i="12"/>
  <c r="O83" i="12"/>
  <c r="O82" i="12"/>
  <c r="O81" i="12"/>
  <c r="L84" i="12"/>
  <c r="L83" i="12"/>
  <c r="L82" i="12"/>
  <c r="L81" i="12"/>
  <c r="O79" i="12"/>
  <c r="Q65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O62" i="12"/>
  <c r="N62" i="12"/>
  <c r="M62" i="12"/>
  <c r="L62" i="12"/>
  <c r="K62" i="12"/>
  <c r="J62" i="12"/>
  <c r="I62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L63" i="12"/>
  <c r="O63" i="12" s="1"/>
  <c r="L64" i="12"/>
  <c r="O64" i="12" s="1"/>
  <c r="L6" i="12"/>
  <c r="L7" i="12"/>
  <c r="L8" i="12"/>
  <c r="L10" i="12"/>
  <c r="L11" i="12"/>
  <c r="L13" i="12"/>
  <c r="L14" i="12"/>
  <c r="L15" i="12"/>
  <c r="L17" i="12"/>
  <c r="L18" i="12"/>
  <c r="L19" i="12"/>
  <c r="L21" i="12"/>
  <c r="L22" i="12"/>
  <c r="L23" i="12"/>
  <c r="L24" i="12"/>
  <c r="L25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7" i="12"/>
  <c r="L48" i="12"/>
  <c r="L49" i="12"/>
  <c r="L50" i="12"/>
  <c r="L51" i="12"/>
  <c r="L52" i="12"/>
  <c r="L53" i="12"/>
  <c r="L55" i="12"/>
  <c r="L56" i="12"/>
  <c r="L57" i="12"/>
  <c r="L59" i="12"/>
  <c r="L60" i="12"/>
  <c r="AC148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N148" i="12"/>
  <c r="M148" i="12"/>
  <c r="K148" i="12"/>
  <c r="J148" i="12"/>
  <c r="D148" i="12"/>
  <c r="I148" i="12"/>
  <c r="N47" i="13" l="1"/>
  <c r="M47" i="13"/>
  <c r="L47" i="13"/>
  <c r="K47" i="13"/>
  <c r="J47" i="13"/>
  <c r="I47" i="13"/>
  <c r="N51" i="13"/>
  <c r="M51" i="13"/>
  <c r="L51" i="13"/>
  <c r="K51" i="13"/>
  <c r="J51" i="13"/>
  <c r="I51" i="13"/>
  <c r="D51" i="13"/>
  <c r="L92" i="12"/>
  <c r="O92" i="12" s="1"/>
  <c r="D47" i="13"/>
  <c r="O87" i="12" l="1"/>
  <c r="L31" i="13"/>
  <c r="N13" i="13"/>
  <c r="M13" i="13"/>
  <c r="L13" i="13"/>
  <c r="K13" i="13"/>
  <c r="J13" i="13"/>
  <c r="I13" i="13"/>
  <c r="D13" i="13"/>
  <c r="O86" i="12" l="1"/>
  <c r="O88" i="12"/>
  <c r="R109" i="12"/>
  <c r="S109" i="12"/>
  <c r="T109" i="12"/>
  <c r="U109" i="12"/>
  <c r="V109" i="12"/>
  <c r="W109" i="12"/>
  <c r="X109" i="12"/>
  <c r="Y109" i="12"/>
  <c r="Z109" i="12"/>
  <c r="L43" i="13"/>
  <c r="N81" i="13" l="1"/>
  <c r="N82" i="13" s="1"/>
  <c r="M82" i="13"/>
  <c r="L82" i="13"/>
  <c r="K82" i="13"/>
  <c r="J82" i="13"/>
  <c r="I82" i="13"/>
  <c r="D82" i="13"/>
  <c r="AA139" i="12"/>
  <c r="Z139" i="12"/>
  <c r="Y139" i="12"/>
  <c r="X139" i="12"/>
  <c r="W139" i="12"/>
  <c r="V139" i="12"/>
  <c r="U139" i="12"/>
  <c r="T139" i="12"/>
  <c r="S139" i="12"/>
  <c r="R139" i="12"/>
  <c r="Q139" i="12"/>
  <c r="O122" i="12"/>
  <c r="D76" i="13"/>
  <c r="I76" i="13"/>
  <c r="J76" i="13"/>
  <c r="K76" i="13"/>
  <c r="L76" i="13"/>
  <c r="M76" i="13"/>
  <c r="N76" i="13"/>
  <c r="L61" i="13" l="1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N118" i="12"/>
  <c r="M118" i="12"/>
  <c r="K118" i="12"/>
  <c r="J118" i="12"/>
  <c r="I118" i="12"/>
  <c r="L117" i="12"/>
  <c r="D118" i="12"/>
  <c r="O117" i="12" l="1"/>
  <c r="L99" i="12"/>
  <c r="O99" i="12" l="1"/>
  <c r="L36" i="13"/>
  <c r="N39" i="13"/>
  <c r="M39" i="13"/>
  <c r="K39" i="13"/>
  <c r="J39" i="13"/>
  <c r="I39" i="13"/>
  <c r="K24" i="13"/>
  <c r="J24" i="13"/>
  <c r="K23" i="13"/>
  <c r="L23" i="13" s="1"/>
  <c r="L22" i="13"/>
  <c r="M21" i="13"/>
  <c r="K21" i="13"/>
  <c r="J21" i="13"/>
  <c r="N20" i="13"/>
  <c r="M20" i="13"/>
  <c r="K20" i="13"/>
  <c r="J20" i="13"/>
  <c r="L19" i="13"/>
  <c r="L24" i="13" l="1"/>
  <c r="L21" i="13"/>
  <c r="L20" i="13"/>
  <c r="N28" i="13"/>
  <c r="M28" i="13"/>
  <c r="K28" i="13"/>
  <c r="J28" i="13"/>
  <c r="I28" i="13"/>
  <c r="D28" i="13"/>
  <c r="L70" i="12"/>
  <c r="L66" i="12" l="1"/>
  <c r="L9" i="13"/>
  <c r="J80" i="13" l="1"/>
  <c r="J86" i="13" s="1"/>
  <c r="K80" i="13"/>
  <c r="K86" i="13" s="1"/>
  <c r="L80" i="13"/>
  <c r="M80" i="13"/>
  <c r="M86" i="13" s="1"/>
  <c r="N80" i="13"/>
  <c r="N86" i="13" s="1"/>
  <c r="I80" i="13"/>
  <c r="D80" i="13"/>
  <c r="D86" i="13" l="1"/>
  <c r="I86" i="13"/>
  <c r="L86" i="13"/>
  <c r="L143" i="12" l="1"/>
  <c r="N143" i="12"/>
  <c r="N147" i="12" s="1"/>
  <c r="M143" i="12"/>
  <c r="M147" i="12" s="1"/>
  <c r="K143" i="12"/>
  <c r="K147" i="12" s="1"/>
  <c r="J143" i="12"/>
  <c r="J147" i="12" s="1"/>
  <c r="I143" i="12"/>
  <c r="D143" i="12"/>
  <c r="O143" i="12"/>
  <c r="L54" i="13"/>
  <c r="D147" i="12" l="1"/>
  <c r="I147" i="12"/>
  <c r="L147" i="12"/>
  <c r="O147" i="12"/>
  <c r="L35" i="13"/>
  <c r="L34" i="13"/>
  <c r="J31" i="13"/>
  <c r="K31" i="13"/>
  <c r="M31" i="13"/>
  <c r="N31" i="13"/>
  <c r="J18" i="13"/>
  <c r="K18" i="13"/>
  <c r="M18" i="13"/>
  <c r="N18" i="13"/>
  <c r="I18" i="13"/>
  <c r="D18" i="13"/>
  <c r="L39" i="13" l="1"/>
  <c r="T85" i="12"/>
  <c r="S85" i="12"/>
  <c r="R85" i="12"/>
  <c r="Q85" i="12"/>
  <c r="O85" i="12"/>
  <c r="N85" i="12"/>
  <c r="M85" i="12"/>
  <c r="L85" i="12"/>
  <c r="K85" i="12"/>
  <c r="J85" i="12"/>
  <c r="I85" i="12"/>
  <c r="D85" i="12"/>
  <c r="O93" i="12"/>
  <c r="N93" i="12"/>
  <c r="M93" i="12"/>
  <c r="L93" i="12"/>
  <c r="K93" i="12"/>
  <c r="J93" i="12"/>
  <c r="I93" i="12"/>
  <c r="D93" i="12"/>
  <c r="O140" i="12"/>
  <c r="I83" i="13"/>
  <c r="M139" i="12"/>
  <c r="N139" i="12"/>
  <c r="K139" i="12"/>
  <c r="J139" i="12"/>
  <c r="I139" i="12"/>
  <c r="D139" i="12"/>
  <c r="D25" i="13"/>
  <c r="J25" i="13"/>
  <c r="K25" i="13"/>
  <c r="M25" i="13"/>
  <c r="N25" i="13"/>
  <c r="I25" i="13"/>
  <c r="L60" i="13"/>
  <c r="L59" i="13"/>
  <c r="O120" i="12" l="1"/>
  <c r="O119" i="12"/>
  <c r="L139" i="12"/>
  <c r="O121" i="12"/>
  <c r="O129" i="12"/>
  <c r="O128" i="12"/>
  <c r="O123" i="12"/>
  <c r="O125" i="12"/>
  <c r="O124" i="12"/>
  <c r="O127" i="12"/>
  <c r="O126" i="12"/>
  <c r="L116" i="12"/>
  <c r="L115" i="12"/>
  <c r="O139" i="12" l="1"/>
  <c r="O115" i="12"/>
  <c r="O116" i="12"/>
  <c r="L114" i="12"/>
  <c r="L113" i="12"/>
  <c r="L112" i="12"/>
  <c r="J109" i="12"/>
  <c r="K109" i="12"/>
  <c r="M109" i="12"/>
  <c r="N109" i="12"/>
  <c r="L111" i="12"/>
  <c r="L110" i="12"/>
  <c r="L118" i="12" l="1"/>
  <c r="O110" i="12"/>
  <c r="O111" i="12"/>
  <c r="O112" i="12"/>
  <c r="O113" i="12"/>
  <c r="O114" i="12"/>
  <c r="L57" i="13"/>
  <c r="L55" i="13"/>
  <c r="L56" i="13"/>
  <c r="L106" i="12"/>
  <c r="O118" i="12" l="1"/>
  <c r="L58" i="13"/>
  <c r="O106" i="12"/>
  <c r="L100" i="12" l="1"/>
  <c r="L97" i="12"/>
  <c r="L95" i="12"/>
  <c r="L96" i="12"/>
  <c r="L98" i="12"/>
  <c r="L101" i="12"/>
  <c r="L102" i="12"/>
  <c r="L103" i="12"/>
  <c r="L104" i="12"/>
  <c r="L105" i="12"/>
  <c r="L107" i="12"/>
  <c r="L108" i="12"/>
  <c r="L94" i="12"/>
  <c r="O105" i="12" l="1"/>
  <c r="O104" i="12"/>
  <c r="O103" i="12"/>
  <c r="O102" i="12"/>
  <c r="O101" i="12"/>
  <c r="O98" i="12"/>
  <c r="O96" i="12"/>
  <c r="O97" i="12"/>
  <c r="O95" i="12"/>
  <c r="O108" i="12"/>
  <c r="O100" i="12"/>
  <c r="O107" i="12"/>
  <c r="O94" i="12"/>
  <c r="L109" i="12"/>
  <c r="O109" i="12" l="1"/>
  <c r="N41" i="13"/>
  <c r="M41" i="13"/>
  <c r="K41" i="13"/>
  <c r="J41" i="13"/>
  <c r="I41" i="13"/>
  <c r="D41" i="13"/>
  <c r="L41" i="13"/>
  <c r="D39" i="13"/>
  <c r="L25" i="13" l="1"/>
  <c r="L32" i="13"/>
  <c r="L79" i="12"/>
  <c r="I31" i="13"/>
  <c r="D31" i="13"/>
  <c r="L77" i="12" l="1"/>
  <c r="L26" i="13"/>
  <c r="L28" i="13" s="1"/>
  <c r="L75" i="12"/>
  <c r="L74" i="12"/>
  <c r="L73" i="12"/>
  <c r="L72" i="12"/>
  <c r="L71" i="12"/>
  <c r="L69" i="12"/>
  <c r="L68" i="12"/>
  <c r="L148" i="12" l="1"/>
  <c r="L18" i="13"/>
  <c r="O72" i="12"/>
  <c r="O70" i="12"/>
  <c r="O71" i="12"/>
  <c r="O73" i="12"/>
  <c r="O74" i="12"/>
  <c r="O75" i="12"/>
  <c r="O66" i="12"/>
  <c r="O77" i="12"/>
  <c r="O78" i="12" s="1"/>
  <c r="O68" i="12"/>
  <c r="O69" i="12"/>
  <c r="O148" i="12" l="1"/>
  <c r="L7" i="13"/>
  <c r="L11" i="13" s="1"/>
  <c r="M11" i="13" l="1"/>
  <c r="D11" i="13"/>
  <c r="K11" i="13"/>
  <c r="J11" i="13"/>
  <c r="N11" i="13" l="1"/>
  <c r="N83" i="13" l="1"/>
  <c r="M83" i="13"/>
  <c r="L83" i="13"/>
  <c r="K83" i="13"/>
  <c r="J83" i="13"/>
  <c r="D83" i="13"/>
  <c r="N141" i="12" l="1"/>
  <c r="M141" i="12"/>
  <c r="L141" i="12"/>
  <c r="K141" i="12"/>
  <c r="J141" i="12"/>
  <c r="I141" i="12"/>
  <c r="D141" i="12"/>
  <c r="O141" i="12" l="1"/>
  <c r="N63" i="13" l="1"/>
  <c r="M63" i="13"/>
  <c r="L63" i="13"/>
  <c r="K63" i="13"/>
  <c r="J63" i="13"/>
  <c r="I63" i="13"/>
  <c r="D63" i="13"/>
  <c r="K58" i="13" l="1"/>
  <c r="M58" i="13"/>
  <c r="N58" i="13"/>
  <c r="J58" i="13"/>
  <c r="I58" i="13"/>
  <c r="D58" i="13"/>
  <c r="I65" i="12"/>
  <c r="D65" i="12"/>
  <c r="Q109" i="12" l="1"/>
  <c r="I109" i="12"/>
  <c r="D109" i="12"/>
  <c r="N53" i="13" l="1"/>
  <c r="M53" i="13"/>
  <c r="L53" i="13"/>
  <c r="K53" i="13"/>
  <c r="J53" i="13"/>
  <c r="I53" i="13"/>
  <c r="D53" i="13"/>
  <c r="Q93" i="12"/>
  <c r="N85" i="13" l="1"/>
  <c r="M85" i="13"/>
  <c r="K85" i="13"/>
  <c r="J85" i="13"/>
  <c r="I85" i="13"/>
  <c r="D85" i="13"/>
  <c r="AC149" i="12"/>
  <c r="AB149" i="12"/>
  <c r="V91" i="12"/>
  <c r="U91" i="12"/>
  <c r="T91" i="12"/>
  <c r="S91" i="12"/>
  <c r="R91" i="12"/>
  <c r="Q91" i="12"/>
  <c r="O91" i="12"/>
  <c r="N91" i="12"/>
  <c r="M91" i="12"/>
  <c r="L91" i="12"/>
  <c r="K91" i="12"/>
  <c r="J91" i="12"/>
  <c r="I91" i="12"/>
  <c r="D91" i="12"/>
  <c r="L85" i="13" l="1"/>
  <c r="N33" i="13" l="1"/>
  <c r="N84" i="13" s="1"/>
  <c r="M33" i="13"/>
  <c r="M84" i="13" s="1"/>
  <c r="L33" i="13"/>
  <c r="L84" i="13" s="1"/>
  <c r="K33" i="13"/>
  <c r="K84" i="13" s="1"/>
  <c r="J33" i="13"/>
  <c r="J84" i="13" s="1"/>
  <c r="I33" i="13"/>
  <c r="I84" i="13" s="1"/>
  <c r="D33" i="13"/>
  <c r="D84" i="13" s="1"/>
  <c r="U80" i="12"/>
  <c r="T80" i="12"/>
  <c r="S80" i="12"/>
  <c r="R80" i="12"/>
  <c r="Q80" i="12"/>
  <c r="O80" i="12"/>
  <c r="N80" i="12"/>
  <c r="M80" i="12"/>
  <c r="L80" i="12"/>
  <c r="K80" i="12"/>
  <c r="J80" i="12"/>
  <c r="I80" i="12"/>
  <c r="D80" i="12"/>
  <c r="W78" i="12" l="1"/>
  <c r="V78" i="12"/>
  <c r="U78" i="12"/>
  <c r="T78" i="12"/>
  <c r="S78" i="12"/>
  <c r="R78" i="12"/>
  <c r="Q78" i="12"/>
  <c r="N78" i="12"/>
  <c r="M78" i="12"/>
  <c r="L78" i="12"/>
  <c r="K78" i="12"/>
  <c r="J78" i="12"/>
  <c r="I78" i="12"/>
  <c r="D78" i="12"/>
  <c r="Q76" i="12" l="1"/>
  <c r="R76" i="12"/>
  <c r="S76" i="12"/>
  <c r="S145" i="12" s="1"/>
  <c r="T76" i="12"/>
  <c r="T145" i="12" s="1"/>
  <c r="U76" i="12"/>
  <c r="U145" i="12" s="1"/>
  <c r="V76" i="12"/>
  <c r="V145" i="12" s="1"/>
  <c r="W76" i="12"/>
  <c r="W145" i="12" s="1"/>
  <c r="X76" i="12"/>
  <c r="X145" i="12" s="1"/>
  <c r="Y76" i="12"/>
  <c r="Y145" i="12" s="1"/>
  <c r="Z76" i="12"/>
  <c r="Z145" i="12" s="1"/>
  <c r="AA76" i="12"/>
  <c r="AA145" i="12" s="1"/>
  <c r="K76" i="12"/>
  <c r="L76" i="12"/>
  <c r="O76" i="12"/>
  <c r="I76" i="12"/>
  <c r="D76" i="12"/>
  <c r="I87" i="13" l="1"/>
  <c r="M76" i="12"/>
  <c r="N76" i="12"/>
  <c r="J76" i="12"/>
  <c r="AA149" i="12" l="1"/>
  <c r="Z149" i="12"/>
  <c r="Y149" i="12"/>
  <c r="X149" i="12"/>
  <c r="W149" i="12"/>
  <c r="V149" i="12"/>
  <c r="U149" i="12"/>
  <c r="T149" i="12"/>
  <c r="S149" i="12"/>
  <c r="R67" i="12"/>
  <c r="Q67" i="12"/>
  <c r="O67" i="12"/>
  <c r="N67" i="12"/>
  <c r="M67" i="12"/>
  <c r="K67" i="12"/>
  <c r="J67" i="12"/>
  <c r="D67" i="12"/>
  <c r="M145" i="12" l="1"/>
  <c r="M149" i="12" s="1"/>
  <c r="Q145" i="12"/>
  <c r="Q149" i="12" s="1"/>
  <c r="J145" i="12"/>
  <c r="J149" i="12" s="1"/>
  <c r="N145" i="12"/>
  <c r="N149" i="12" s="1"/>
  <c r="O145" i="12"/>
  <c r="O149" i="12" s="1"/>
  <c r="R145" i="12"/>
  <c r="R149" i="12" s="1"/>
  <c r="K145" i="12"/>
  <c r="K149" i="12" s="1"/>
  <c r="D145" i="12"/>
  <c r="D149" i="12" s="1"/>
  <c r="I88" i="13"/>
  <c r="L67" i="12"/>
  <c r="I67" i="12"/>
  <c r="I145" i="12" l="1"/>
  <c r="L145" i="12"/>
  <c r="L149" i="12" s="1"/>
  <c r="J87" i="13"/>
  <c r="J88" i="13" s="1"/>
  <c r="M87" i="13"/>
  <c r="M88" i="13" s="1"/>
  <c r="N87" i="13"/>
  <c r="N88" i="13" s="1"/>
  <c r="D87" i="13"/>
  <c r="D88" i="13" s="1"/>
  <c r="I149" i="12"/>
  <c r="D62" i="12" l="1"/>
  <c r="D144" i="12" s="1"/>
  <c r="D150" i="12" s="1"/>
  <c r="I144" i="12" l="1"/>
  <c r="I150" i="12" s="1"/>
  <c r="J65" i="12"/>
  <c r="K65" i="12"/>
  <c r="K144" i="12" s="1"/>
  <c r="K150" i="12" s="1"/>
  <c r="M65" i="12"/>
  <c r="N65" i="12"/>
  <c r="R65" i="12"/>
  <c r="S65" i="12"/>
  <c r="T65" i="12"/>
  <c r="U65" i="12"/>
  <c r="U144" i="12" s="1"/>
  <c r="U150" i="12" s="1"/>
  <c r="V65" i="12"/>
  <c r="V144" i="12" s="1"/>
  <c r="V150" i="12" s="1"/>
  <c r="W65" i="12"/>
  <c r="W144" i="12" s="1"/>
  <c r="W150" i="12" s="1"/>
  <c r="X65" i="12"/>
  <c r="X144" i="12" s="1"/>
  <c r="X150" i="12" s="1"/>
  <c r="Y65" i="12"/>
  <c r="Y144" i="12" s="1"/>
  <c r="Y150" i="12" s="1"/>
  <c r="Z65" i="12"/>
  <c r="Z144" i="12" s="1"/>
  <c r="Z150" i="12" s="1"/>
  <c r="AA65" i="12"/>
  <c r="AA144" i="12" s="1"/>
  <c r="AA150" i="12" s="1"/>
  <c r="AB65" i="12"/>
  <c r="AB144" i="12" s="1"/>
  <c r="AB150" i="12" s="1"/>
  <c r="AC65" i="12"/>
  <c r="AC144" i="12" s="1"/>
  <c r="AC150" i="12" s="1"/>
  <c r="Q144" i="12" l="1"/>
  <c r="Q150" i="12" s="1"/>
  <c r="R144" i="12"/>
  <c r="R150" i="12" s="1"/>
  <c r="S144" i="12"/>
  <c r="S150" i="12" s="1"/>
  <c r="T144" i="12"/>
  <c r="T150" i="12" s="1"/>
  <c r="L65" i="12"/>
  <c r="O65" i="12"/>
  <c r="M144" i="12" l="1"/>
  <c r="M150" i="12" s="1"/>
  <c r="O144" i="12"/>
  <c r="O150" i="12" s="1"/>
  <c r="J144" i="12" l="1"/>
  <c r="J150" i="12" s="1"/>
  <c r="L144" i="12" l="1"/>
  <c r="L150" i="12" l="1"/>
  <c r="L87" i="13" l="1"/>
  <c r="K87" i="13" l="1"/>
  <c r="K88" i="13" s="1"/>
  <c r="L88" i="13"/>
  <c r="N144" i="12" l="1"/>
  <c r="N150" i="12" s="1"/>
</calcChain>
</file>

<file path=xl/sharedStrings.xml><?xml version="1.0" encoding="utf-8"?>
<sst xmlns="http://schemas.openxmlformats.org/spreadsheetml/2006/main" count="533" uniqueCount="168">
  <si>
    <t>Condições de financiamento das entidades do SPR - MLP</t>
  </si>
  <si>
    <t>(euros)</t>
  </si>
  <si>
    <t>Mutuário</t>
  </si>
  <si>
    <t>Mutuante</t>
  </si>
  <si>
    <t>Capital contratado</t>
  </si>
  <si>
    <t>Data</t>
  </si>
  <si>
    <t>Taxa de juro</t>
  </si>
  <si>
    <t>Juros de contratos de financiamento</t>
  </si>
  <si>
    <t>Outros encargos de contratos de financiamento</t>
  </si>
  <si>
    <t>Amortizações acumuladas</t>
  </si>
  <si>
    <t>Garantias Concedidas pela RAA/ Observações</t>
  </si>
  <si>
    <t>Início</t>
  </si>
  <si>
    <t>Fim</t>
  </si>
  <si>
    <t>Indexante</t>
  </si>
  <si>
    <t>Spread</t>
  </si>
  <si>
    <t>Amortizações</t>
  </si>
  <si>
    <t>Reforços</t>
  </si>
  <si>
    <t>Dívida Direta RAA</t>
  </si>
  <si>
    <t>Dexia</t>
  </si>
  <si>
    <t>CGD/BPI/BCP</t>
  </si>
  <si>
    <t>Euribor 6M</t>
  </si>
  <si>
    <t>Euribor 12M</t>
  </si>
  <si>
    <t>BST</t>
  </si>
  <si>
    <t>BPI</t>
  </si>
  <si>
    <t>NB</t>
  </si>
  <si>
    <t>CCAMA</t>
  </si>
  <si>
    <t>CA/BK</t>
  </si>
  <si>
    <t>Assunção de dívida dos Hospitais</t>
  </si>
  <si>
    <t>NBAçores</t>
  </si>
  <si>
    <t>Assunção de dívida da Saudaçor</t>
  </si>
  <si>
    <t>BI/BBVA/BK/CA</t>
  </si>
  <si>
    <t>CGD/BCP</t>
  </si>
  <si>
    <t>BPI/CGD e CA/BK</t>
  </si>
  <si>
    <t>CBI/CA/DB/BCP</t>
  </si>
  <si>
    <t>BCP</t>
  </si>
  <si>
    <t>Euribor 3M</t>
  </si>
  <si>
    <t>Assunção de dívida da SPRHI</t>
  </si>
  <si>
    <t>Montepio</t>
  </si>
  <si>
    <t>IHRU</t>
  </si>
  <si>
    <t>BPG</t>
  </si>
  <si>
    <t>BIC</t>
  </si>
  <si>
    <t>CGD</t>
  </si>
  <si>
    <t>CEMAH</t>
  </si>
  <si>
    <t>BI/BST</t>
  </si>
  <si>
    <t>Assunção de dívida da SINAGA</t>
  </si>
  <si>
    <t>Bankinter</t>
  </si>
  <si>
    <t>Subtotal</t>
  </si>
  <si>
    <t>RAA Leasing</t>
  </si>
  <si>
    <t>Atlânticoline, S.A.</t>
  </si>
  <si>
    <t>Carta Conforto</t>
  </si>
  <si>
    <t>Ilhas de Valor, S.A.</t>
  </si>
  <si>
    <t>Aval N.º 11/18</t>
  </si>
  <si>
    <t>Aval N.º 02/19</t>
  </si>
  <si>
    <t>Aval N.º 07/19</t>
  </si>
  <si>
    <t>Euribor 1M</t>
  </si>
  <si>
    <t>Aval N.º 04/20</t>
  </si>
  <si>
    <t>Teatro Micaelense, S.A.</t>
  </si>
  <si>
    <t xml:space="preserve">BCP </t>
  </si>
  <si>
    <t>Aval N.º 05/21</t>
  </si>
  <si>
    <t>IROA, S.A.</t>
  </si>
  <si>
    <t>Aval N.º 01/19</t>
  </si>
  <si>
    <t>SATA Air Açores, S.A.</t>
  </si>
  <si>
    <t>-</t>
  </si>
  <si>
    <t>RCI</t>
  </si>
  <si>
    <t>DB</t>
  </si>
  <si>
    <t>Aval N.º 14/18</t>
  </si>
  <si>
    <t>SATA Internacional, S.A.</t>
  </si>
  <si>
    <t>Portos dos Açores, S.A.</t>
  </si>
  <si>
    <t>Lotaçor, S.A.</t>
  </si>
  <si>
    <t>EDA, S.A.</t>
  </si>
  <si>
    <t>EDA Renováveis, S.A.</t>
  </si>
  <si>
    <t>Total RAA 1)</t>
  </si>
  <si>
    <t>Total EPR 2)</t>
  </si>
  <si>
    <t>Total EPnR 3)</t>
  </si>
  <si>
    <t>Notas:</t>
  </si>
  <si>
    <t>Condições de financiamento das entidades do SPR - CP</t>
  </si>
  <si>
    <t>Taxa de Juro</t>
  </si>
  <si>
    <t>RAA</t>
  </si>
  <si>
    <t>BI/BBVA</t>
  </si>
  <si>
    <t>A definir em cada emissão</t>
  </si>
  <si>
    <t>Renovável</t>
  </si>
  <si>
    <t>AVEA</t>
  </si>
  <si>
    <t>ENTA</t>
  </si>
  <si>
    <t>SATA Gestão de Aeródromos, S.A.</t>
  </si>
  <si>
    <t>Agregação de 3 empréstimos</t>
  </si>
  <si>
    <t>Agregação SINAGA+Santa Catarina</t>
  </si>
  <si>
    <t>Assunção dívida SATA</t>
  </si>
  <si>
    <t>Assunção dívida Lotaçor</t>
  </si>
  <si>
    <t>Assunção de dívida da Azorina</t>
  </si>
  <si>
    <t>Euribror 6M</t>
  </si>
  <si>
    <t>Montepio Geral</t>
  </si>
  <si>
    <t xml:space="preserve">Euribor 6M </t>
  </si>
  <si>
    <t xml:space="preserve">Euribor 12M </t>
  </si>
  <si>
    <t xml:space="preserve">Euribor 1 M </t>
  </si>
  <si>
    <t>Total Avales</t>
  </si>
  <si>
    <t>Aval N.º 03/22</t>
  </si>
  <si>
    <t xml:space="preserve">Aval N.º 10/19 </t>
  </si>
  <si>
    <t xml:space="preserve">Aval N.º 03/20 </t>
  </si>
  <si>
    <t xml:space="preserve">Aval N.º 03/21 </t>
  </si>
  <si>
    <t xml:space="preserve">Aval N.º 07/16 </t>
  </si>
  <si>
    <t xml:space="preserve">Aval Nº 07/17 </t>
  </si>
  <si>
    <t xml:space="preserve">Aval N.º 06/18 </t>
  </si>
  <si>
    <t xml:space="preserve">Aval N.º  06/19 </t>
  </si>
  <si>
    <t xml:space="preserve">Aval N.º 14/17 </t>
  </si>
  <si>
    <t xml:space="preserve">Aval N.º 12/18 </t>
  </si>
  <si>
    <t xml:space="preserve">Aval N.º 01/22 </t>
  </si>
  <si>
    <t xml:space="preserve">Aval N.º 01/20 </t>
  </si>
  <si>
    <t>Aval N.º 02/21</t>
  </si>
  <si>
    <t>TAN 11%</t>
  </si>
  <si>
    <t>CBI</t>
  </si>
  <si>
    <t>BBVA</t>
  </si>
  <si>
    <t>BEI</t>
  </si>
  <si>
    <t>Aval N.º 03/14</t>
  </si>
  <si>
    <t>Agregação operações Azorina</t>
  </si>
  <si>
    <t>Assunção de Dívida do Campo de Golfe Terceira (RCG N.º 108/2022)</t>
  </si>
  <si>
    <t>Aval N.º 02/22 (Dívida Parcialmente Assumida RAA)</t>
  </si>
  <si>
    <t>Assunção parcial de dívida da Lotaçor</t>
  </si>
  <si>
    <t>Assunção de dívida da Saudaçor (restruturado com novo plano de amortizações)</t>
  </si>
  <si>
    <t xml:space="preserve">Outros encargos </t>
  </si>
  <si>
    <t>BI/Bankinter/BBVA/DB</t>
  </si>
  <si>
    <t>Nonagon</t>
  </si>
  <si>
    <t>Aval N.º 01/23</t>
  </si>
  <si>
    <t>Aval N.º 03/23</t>
  </si>
  <si>
    <t>Aval N.º 04/23</t>
  </si>
  <si>
    <t>Aval N.º 02/23</t>
  </si>
  <si>
    <t>12 meses</t>
  </si>
  <si>
    <t>CB</t>
  </si>
  <si>
    <t>EUR 3M</t>
  </si>
  <si>
    <t>SATA Holding, S.A.</t>
  </si>
  <si>
    <t>Aval N.º 05/23</t>
  </si>
  <si>
    <t>Aval N.º 04/24</t>
  </si>
  <si>
    <t>Agregação das operações Lotaçor - reestruturação após amortizações de 43.332€</t>
  </si>
  <si>
    <t xml:space="preserve">Taxa fixa de 1% </t>
  </si>
  <si>
    <t xml:space="preserve">Taxa fixa de 0,945% </t>
  </si>
  <si>
    <t>Taxa fixa de 2,57%</t>
  </si>
  <si>
    <t>Total ISFL 4)</t>
  </si>
  <si>
    <t>Total SPER 5) = 2) + 3) + 4)</t>
  </si>
  <si>
    <t>Total Geral 1) + 5)</t>
  </si>
  <si>
    <t>Visit Azores</t>
  </si>
  <si>
    <t>1) Ao abrigo da RCG N.º 75/2023 procedeu-se à alteração da mutuária Sata Air Açores, S.A. para SATA Holding, S.A., mantendo-se, no demais, os mesmos moldes das garantias originais.</t>
  </si>
  <si>
    <r>
      <t xml:space="preserve">BPI </t>
    </r>
    <r>
      <rPr>
        <vertAlign val="superscript"/>
        <sz val="8"/>
        <rFont val="Lato"/>
        <family val="2"/>
      </rPr>
      <t>1)</t>
    </r>
  </si>
  <si>
    <r>
      <t xml:space="preserve">BIC </t>
    </r>
    <r>
      <rPr>
        <vertAlign val="superscript"/>
        <sz val="8"/>
        <color theme="1"/>
        <rFont val="Lato"/>
        <family val="2"/>
      </rPr>
      <t>1)</t>
    </r>
  </si>
  <si>
    <r>
      <t xml:space="preserve">DB </t>
    </r>
    <r>
      <rPr>
        <vertAlign val="superscript"/>
        <sz val="8"/>
        <color theme="1"/>
        <rFont val="Lato"/>
        <family val="2"/>
      </rPr>
      <t>1)</t>
    </r>
  </si>
  <si>
    <t>DGTF</t>
  </si>
  <si>
    <t>Posição a 31.12.2023</t>
  </si>
  <si>
    <t>Posição a 
31.12.2024</t>
  </si>
  <si>
    <t>Encargos diversos: CMVM, Interbolsa e outros</t>
  </si>
  <si>
    <t>Movimentos em 2024</t>
  </si>
  <si>
    <t>Reestruturado em 2023 (BPI/BCP/CGD 105M€)</t>
  </si>
  <si>
    <t>Empréstimo consolidado com outras 4 operações contratadas junto do BST</t>
  </si>
  <si>
    <t>Santander Consolidação 5 operações</t>
  </si>
  <si>
    <t xml:space="preserve">Assunção de dívida da Saudaçor </t>
  </si>
  <si>
    <t>foram reembolsados 52.901.342,00€ a 16 de janeiro de 2024 ( valor que transitou do ano anterior)</t>
  </si>
  <si>
    <t>Carta Conforto N.º 1/2024</t>
  </si>
  <si>
    <t>HDES, E.P.E.R.</t>
  </si>
  <si>
    <t>13 meses</t>
  </si>
  <si>
    <t>Aval N.º 02/24</t>
  </si>
  <si>
    <t>Haitong</t>
  </si>
  <si>
    <t>BI</t>
  </si>
  <si>
    <t>Finantia</t>
  </si>
  <si>
    <t>Ad Air Centre</t>
  </si>
  <si>
    <t>Aval N.º 01/24</t>
  </si>
  <si>
    <t>OTA</t>
  </si>
  <si>
    <t>Descoberto Bancário que transitou de ano</t>
  </si>
  <si>
    <t>Carta Conforto N.º 6/2024</t>
  </si>
  <si>
    <t>EUR 12M</t>
  </si>
  <si>
    <t>Carta Conforto N.º 8/2025</t>
  </si>
  <si>
    <t xml:space="preserve">Possibilidade de utilização de descoberto ( até 10 dias)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</si>
</sst>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dd\-mm\-yyyy;@"/>
    <numFmt numFmtId="166" formatCode="dd/mm/yy;@"/>
    <numFmt numFmtId="167" formatCode="_-* #,##0.00\ _E_s_c_._-;\-* #,##0.00\ _E_s_c_._-;_-* &quot;-&quot;??\ _E_s_c_._-;_-@_-"/>
    <numFmt numFmtId="168" formatCode="0.000%"/>
  </numFmts>
  <fonts count="17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Lato"/>
      <family val="2"/>
    </font>
    <font>
      <b/>
      <sz val="8"/>
      <color theme="1"/>
      <name val="Lato"/>
      <family val="2"/>
    </font>
    <font>
      <i/>
      <sz val="8"/>
      <color theme="1"/>
      <name val="Lato"/>
      <family val="2"/>
    </font>
    <font>
      <b/>
      <sz val="8"/>
      <name val="Lato"/>
      <family val="2"/>
    </font>
    <font>
      <b/>
      <i/>
      <sz val="8"/>
      <name val="Lato"/>
      <family val="2"/>
    </font>
    <font>
      <sz val="8"/>
      <name val="Lato"/>
      <family val="2"/>
    </font>
    <font>
      <vertAlign val="superscript"/>
      <sz val="8"/>
      <name val="Lato"/>
      <family val="2"/>
    </font>
    <font>
      <vertAlign val="superscript"/>
      <sz val="8"/>
      <color theme="1"/>
      <name val="Lato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</cellStyleXfs>
  <cellXfs count="135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horizontal="left"/>
    </xf>
    <xf numFmtId="3" fontId="8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3" fontId="8" fillId="2" borderId="0" xfId="0" applyNumberFormat="1" applyFont="1" applyFill="1"/>
    <xf numFmtId="4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/>
    </xf>
    <xf numFmtId="166" fontId="11" fillId="2" borderId="11" xfId="0" applyNumberFormat="1" applyFont="1" applyFill="1" applyBorder="1" applyAlignment="1">
      <alignment horizontal="center" vertical="center" wrapText="1"/>
    </xf>
    <xf numFmtId="166" fontId="12" fillId="2" borderId="11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4" fontId="13" fillId="2" borderId="0" xfId="0" applyNumberFormat="1" applyFont="1" applyFill="1" applyAlignment="1">
      <alignment horizontal="left" vertical="center"/>
    </xf>
    <xf numFmtId="3" fontId="13" fillId="2" borderId="0" xfId="5" applyNumberFormat="1" applyFont="1" applyFill="1" applyBorder="1" applyAlignment="1">
      <alignment vertical="center"/>
    </xf>
    <xf numFmtId="165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0" fontId="13" fillId="2" borderId="0" xfId="0" applyNumberFormat="1" applyFont="1" applyFill="1" applyAlignment="1">
      <alignment horizontal="left" vertical="center"/>
    </xf>
    <xf numFmtId="10" fontId="13" fillId="2" borderId="0" xfId="0" applyNumberFormat="1" applyFont="1" applyFill="1" applyAlignment="1">
      <alignment horizontal="right" vertical="center"/>
    </xf>
    <xf numFmtId="165" fontId="8" fillId="2" borderId="0" xfId="0" applyNumberFormat="1" applyFont="1" applyFill="1" applyAlignment="1">
      <alignment horizontal="center"/>
    </xf>
    <xf numFmtId="3" fontId="13" fillId="2" borderId="0" xfId="5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left" vertical="center"/>
    </xf>
    <xf numFmtId="3" fontId="9" fillId="2" borderId="3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14" fontId="13" fillId="2" borderId="5" xfId="0" applyNumberFormat="1" applyFont="1" applyFill="1" applyBorder="1" applyAlignment="1">
      <alignment horizontal="left" vertical="center"/>
    </xf>
    <xf numFmtId="3" fontId="13" fillId="2" borderId="5" xfId="5" applyNumberFormat="1" applyFont="1" applyFill="1" applyBorder="1" applyAlignment="1">
      <alignment vertical="center"/>
    </xf>
    <xf numFmtId="165" fontId="13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3" fontId="8" fillId="2" borderId="5" xfId="0" applyNumberFormat="1" applyFont="1" applyFill="1" applyBorder="1"/>
    <xf numFmtId="168" fontId="13" fillId="2" borderId="0" xfId="0" applyNumberFormat="1" applyFont="1" applyFill="1" applyAlignment="1">
      <alignment vertical="center"/>
    </xf>
    <xf numFmtId="3" fontId="9" fillId="2" borderId="3" xfId="0" applyNumberFormat="1" applyFont="1" applyFill="1" applyBorder="1" applyAlignment="1">
      <alignment vertical="center"/>
    </xf>
    <xf numFmtId="14" fontId="13" fillId="2" borderId="4" xfId="0" applyNumberFormat="1" applyFont="1" applyFill="1" applyBorder="1" applyAlignment="1">
      <alignment horizontal="left" vertical="center"/>
    </xf>
    <xf numFmtId="3" fontId="9" fillId="2" borderId="5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right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vertical="center"/>
    </xf>
    <xf numFmtId="3" fontId="13" fillId="2" borderId="3" xfId="5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horizontal="center" vertical="center"/>
    </xf>
    <xf numFmtId="168" fontId="13" fillId="2" borderId="3" xfId="0" applyNumberFormat="1" applyFont="1" applyFill="1" applyBorder="1" applyAlignment="1">
      <alignment vertical="center"/>
    </xf>
    <xf numFmtId="10" fontId="13" fillId="2" borderId="3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/>
    <xf numFmtId="10" fontId="13" fillId="2" borderId="3" xfId="0" applyNumberFormat="1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/>
    </xf>
    <xf numFmtId="3" fontId="13" fillId="2" borderId="0" xfId="5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right" vertical="center"/>
    </xf>
    <xf numFmtId="10" fontId="8" fillId="2" borderId="0" xfId="4" applyNumberFormat="1" applyFont="1" applyFill="1" applyAlignment="1">
      <alignment horizontal="right" vertical="center"/>
    </xf>
    <xf numFmtId="4" fontId="8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/>
    </xf>
    <xf numFmtId="0" fontId="11" fillId="2" borderId="20" xfId="0" applyFont="1" applyFill="1" applyBorder="1" applyAlignment="1">
      <alignment horizontal="center" vertical="center" wrapText="1"/>
    </xf>
    <xf numFmtId="166" fontId="11" fillId="2" borderId="20" xfId="0" applyNumberFormat="1" applyFont="1" applyFill="1" applyBorder="1" applyAlignment="1">
      <alignment horizontal="center" vertical="center" wrapText="1"/>
    </xf>
    <xf numFmtId="166" fontId="12" fillId="2" borderId="2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3" fontId="13" fillId="2" borderId="0" xfId="0" applyNumberFormat="1" applyFont="1" applyFill="1" applyAlignment="1">
      <alignment horizontal="right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 wrapText="1"/>
    </xf>
    <xf numFmtId="10" fontId="13" fillId="2" borderId="4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0" fontId="13" fillId="2" borderId="5" xfId="0" applyNumberFormat="1" applyFont="1" applyFill="1" applyBorder="1" applyAlignment="1">
      <alignment horizontal="right" vertical="center"/>
    </xf>
    <xf numFmtId="3" fontId="13" fillId="2" borderId="4" xfId="5" applyNumberFormat="1" applyFont="1" applyFill="1" applyBorder="1" applyAlignment="1">
      <alignment vertical="center"/>
    </xf>
    <xf numFmtId="165" fontId="13" fillId="2" borderId="4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vertical="center"/>
    </xf>
    <xf numFmtId="168" fontId="13" fillId="2" borderId="0" xfId="0" applyNumberFormat="1" applyFont="1" applyFill="1" applyAlignment="1">
      <alignment horizontal="left" vertical="center"/>
    </xf>
    <xf numFmtId="10" fontId="13" fillId="0" borderId="0" xfId="0" applyNumberFormat="1" applyFont="1" applyAlignment="1">
      <alignment horizontal="left" vertical="center"/>
    </xf>
    <xf numFmtId="10" fontId="13" fillId="0" borderId="0" xfId="0" applyNumberFormat="1" applyFont="1" applyAlignment="1">
      <alignment horizontal="right" vertical="center"/>
    </xf>
    <xf numFmtId="0" fontId="8" fillId="0" borderId="0" xfId="0" applyFont="1"/>
    <xf numFmtId="3" fontId="8" fillId="0" borderId="0" xfId="0" applyNumberFormat="1" applyFont="1"/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4" fontId="13" fillId="2" borderId="0" xfId="5" applyNumberFormat="1" applyFont="1" applyFill="1" applyBorder="1" applyAlignment="1">
      <alignment vertical="center"/>
    </xf>
    <xf numFmtId="10" fontId="13" fillId="2" borderId="0" xfId="0" applyNumberFormat="1" applyFont="1" applyFill="1" applyAlignment="1">
      <alignment horizontal="center" vertical="center"/>
    </xf>
    <xf numFmtId="4" fontId="8" fillId="2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0" fontId="13" fillId="2" borderId="0" xfId="0" applyNumberFormat="1" applyFont="1" applyFill="1" applyAlignment="1">
      <alignment horizontal="center" vertical="center"/>
    </xf>
    <xf numFmtId="168" fontId="13" fillId="2" borderId="0" xfId="0" applyNumberFormat="1" applyFont="1" applyFill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6" fontId="11" fillId="2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6" fontId="11" fillId="2" borderId="15" xfId="0" applyNumberFormat="1" applyFont="1" applyFill="1" applyBorder="1" applyAlignment="1">
      <alignment horizontal="center" vertical="center" wrapText="1"/>
    </xf>
    <xf numFmtId="166" fontId="11" fillId="2" borderId="13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left" vertical="center"/>
    </xf>
    <xf numFmtId="3" fontId="8" fillId="2" borderId="0" xfId="0" applyNumberFormat="1" applyFont="1" applyFill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6" fontId="13" fillId="0" borderId="0" xfId="0" applyNumberFormat="1" applyFont="1" applyAlignment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10" fontId="13" fillId="2" borderId="4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</cellXfs>
  <cellStyles count="19">
    <cellStyle name="Normal" xfId="0" builtinId="0"/>
    <cellStyle name="Normal 2" xfId="2" xr:uid="{00000000-0005-0000-0000-000003000000}"/>
    <cellStyle name="Normal 2 2" xfId="11" xr:uid="{00000000-0005-0000-0000-000004000000}"/>
    <cellStyle name="Normal 3" xfId="6" xr:uid="{00000000-0005-0000-0000-000005000000}"/>
    <cellStyle name="Normal 4" xfId="8" xr:uid="{00000000-0005-0000-0000-000006000000}"/>
    <cellStyle name="Normal 5" xfId="12" xr:uid="{00000000-0005-0000-0000-000007000000}"/>
    <cellStyle name="Normal 6" xfId="14" xr:uid="{00000000-0005-0000-0000-000008000000}"/>
    <cellStyle name="Normal 6 2" xfId="3" xr:uid="{00000000-0005-0000-0000-000009000000}"/>
    <cellStyle name="Normal 7" xfId="17" xr:uid="{D3001A41-B00F-462B-9F24-A384B6CD308E}"/>
    <cellStyle name="Percentagem" xfId="4" builtinId="5"/>
    <cellStyle name="Percentagem 2" xfId="10" xr:uid="{00000000-0005-0000-0000-00000B000000}"/>
    <cellStyle name="Percentagem 3" xfId="16" xr:uid="{00000000-0005-0000-0000-00000C000000}"/>
    <cellStyle name="Vírgula" xfId="5" builtinId="3"/>
    <cellStyle name="Vírgula 2" xfId="1" xr:uid="{00000000-0005-0000-0000-00000E000000}"/>
    <cellStyle name="Vírgula 2 2" xfId="13" xr:uid="{00000000-0005-0000-0000-00000F000000}"/>
    <cellStyle name="Vírgula 3" xfId="7" xr:uid="{00000000-0005-0000-0000-000010000000}"/>
    <cellStyle name="Vírgula 4" xfId="9" xr:uid="{00000000-0005-0000-0000-000011000000}"/>
    <cellStyle name="Vírgula 5" xfId="15" xr:uid="{00000000-0005-0000-0000-000012000000}"/>
    <cellStyle name="Vírgula 6" xfId="18" xr:uid="{8B1D981B-744A-486B-9220-03BC8D37EA79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I160"/>
  <sheetViews>
    <sheetView showGridLines="0" topLeftCell="N1" zoomScaleNormal="100" zoomScaleSheetLayoutView="100" workbookViewId="0">
      <pane ySplit="5" topLeftCell="A12" activePane="bottomLeft" state="frozen"/>
      <selection pane="bottomLeft" activeCell="L85" sqref="L85"/>
    </sheetView>
  </sheetViews>
  <sheetFormatPr defaultColWidth="9.140625" defaultRowHeight="12.75" x14ac:dyDescent="0.25"/>
  <cols>
    <col min="1" max="1" width="2.5703125" style="1" customWidth="1"/>
    <col min="2" max="2" width="22.28515625" style="1" bestFit="1" customWidth="1"/>
    <col min="3" max="3" width="24.42578125" style="2" bestFit="1" customWidth="1"/>
    <col min="4" max="4" width="11.28515625" style="1" customWidth="1"/>
    <col min="5" max="6" width="10.85546875" style="8" customWidth="1"/>
    <col min="7" max="7" width="10.85546875" style="9" customWidth="1"/>
    <col min="8" max="8" width="10.85546875" style="5" customWidth="1"/>
    <col min="9" max="9" width="12.85546875" style="1" customWidth="1"/>
    <col min="10" max="11" width="10.85546875" style="1" customWidth="1"/>
    <col min="12" max="12" width="12.85546875" style="1" customWidth="1"/>
    <col min="13" max="15" width="11.7109375" style="1" customWidth="1"/>
    <col min="16" max="16" width="62.140625" style="1" customWidth="1"/>
    <col min="17" max="21" width="9.5703125" style="1" customWidth="1"/>
    <col min="22" max="22" width="11.140625" style="1" customWidth="1"/>
    <col min="23" max="33" width="9.5703125" style="1" customWidth="1"/>
    <col min="34" max="34" width="9.85546875" style="1" customWidth="1"/>
    <col min="35" max="35" width="10.140625" style="1" customWidth="1"/>
    <col min="36" max="16384" width="9.140625" style="1"/>
  </cols>
  <sheetData>
    <row r="1" spans="2:35" x14ac:dyDescent="0.25">
      <c r="E1" s="3"/>
      <c r="F1" s="3"/>
      <c r="G1" s="4"/>
      <c r="I1" s="6"/>
      <c r="J1" s="6"/>
      <c r="K1" s="7"/>
      <c r="L1" s="7"/>
      <c r="M1" s="6"/>
      <c r="N1" s="6"/>
      <c r="O1" s="6"/>
      <c r="Q1" s="6"/>
      <c r="R1" s="6"/>
      <c r="S1" s="6"/>
      <c r="U1" s="6"/>
    </row>
    <row r="2" spans="2:35" ht="15" customHeight="1" x14ac:dyDescent="0.25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2:35" ht="13.5" thickBot="1" x14ac:dyDescent="0.3">
      <c r="K3" s="10"/>
      <c r="R3" s="6"/>
      <c r="Y3" s="10"/>
      <c r="AG3" s="10" t="s">
        <v>1</v>
      </c>
    </row>
    <row r="4" spans="2:35" ht="35.1" customHeight="1" thickBot="1" x14ac:dyDescent="0.3">
      <c r="B4" s="105" t="s">
        <v>2</v>
      </c>
      <c r="C4" s="111" t="s">
        <v>3</v>
      </c>
      <c r="D4" s="102" t="s">
        <v>4</v>
      </c>
      <c r="E4" s="97" t="s">
        <v>5</v>
      </c>
      <c r="F4" s="97"/>
      <c r="G4" s="109" t="s">
        <v>6</v>
      </c>
      <c r="H4" s="110"/>
      <c r="I4" s="101" t="s">
        <v>144</v>
      </c>
      <c r="J4" s="101" t="s">
        <v>147</v>
      </c>
      <c r="K4" s="101"/>
      <c r="L4" s="101" t="s">
        <v>145</v>
      </c>
      <c r="M4" s="101" t="s">
        <v>7</v>
      </c>
      <c r="N4" s="107" t="s">
        <v>8</v>
      </c>
      <c r="O4" s="115" t="s">
        <v>9</v>
      </c>
      <c r="P4" s="113" t="s">
        <v>10</v>
      </c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00"/>
    </row>
    <row r="5" spans="2:35" ht="20.100000000000001" customHeight="1" thickBot="1" x14ac:dyDescent="0.3">
      <c r="B5" s="106"/>
      <c r="C5" s="112"/>
      <c r="D5" s="103"/>
      <c r="E5" s="11" t="s">
        <v>11</v>
      </c>
      <c r="F5" s="11" t="s">
        <v>12</v>
      </c>
      <c r="G5" s="11" t="s">
        <v>13</v>
      </c>
      <c r="H5" s="12" t="s">
        <v>14</v>
      </c>
      <c r="I5" s="104"/>
      <c r="J5" s="13" t="s">
        <v>15</v>
      </c>
      <c r="K5" s="13" t="s">
        <v>16</v>
      </c>
      <c r="L5" s="104"/>
      <c r="M5" s="104"/>
      <c r="N5" s="108"/>
      <c r="O5" s="116"/>
      <c r="P5" s="114"/>
      <c r="Q5" s="14">
        <v>2025</v>
      </c>
      <c r="R5" s="14">
        <v>2026</v>
      </c>
      <c r="S5" s="14">
        <v>2027</v>
      </c>
      <c r="T5" s="14">
        <v>2028</v>
      </c>
      <c r="U5" s="14">
        <v>2029</v>
      </c>
      <c r="V5" s="14">
        <v>2030</v>
      </c>
      <c r="W5" s="14">
        <v>2031</v>
      </c>
      <c r="X5" s="14">
        <v>2032</v>
      </c>
      <c r="Y5" s="14">
        <v>2033</v>
      </c>
      <c r="Z5" s="14">
        <v>2034</v>
      </c>
      <c r="AA5" s="14">
        <v>2035</v>
      </c>
      <c r="AB5" s="14">
        <v>2036</v>
      </c>
      <c r="AC5" s="14">
        <v>2037</v>
      </c>
      <c r="AD5" s="14">
        <v>2038</v>
      </c>
      <c r="AE5" s="14">
        <v>2039</v>
      </c>
      <c r="AF5" s="14">
        <v>2040</v>
      </c>
      <c r="AG5" s="14">
        <v>2041</v>
      </c>
    </row>
    <row r="6" spans="2:35" x14ac:dyDescent="0.25">
      <c r="B6" s="118" t="s">
        <v>17</v>
      </c>
      <c r="C6" s="15" t="s">
        <v>18</v>
      </c>
      <c r="D6" s="16">
        <v>147500000</v>
      </c>
      <c r="E6" s="17">
        <v>42237</v>
      </c>
      <c r="F6" s="17">
        <v>45890</v>
      </c>
      <c r="G6" s="117">
        <v>1.8499999999999999E-2</v>
      </c>
      <c r="H6" s="117"/>
      <c r="I6" s="16">
        <v>32000000</v>
      </c>
      <c r="J6" s="16">
        <v>16000000</v>
      </c>
      <c r="K6" s="16">
        <v>0</v>
      </c>
      <c r="L6" s="84">
        <f>+I6-J6</f>
        <v>16000000</v>
      </c>
      <c r="M6" s="16">
        <v>601866.67000000004</v>
      </c>
      <c r="N6" s="16">
        <v>7133.27</v>
      </c>
      <c r="O6" s="16">
        <f t="shared" ref="O6:O60" si="0">+D6-L6</f>
        <v>131500000</v>
      </c>
      <c r="P6" s="18"/>
      <c r="Q6" s="16">
        <v>16000000</v>
      </c>
      <c r="R6" s="16"/>
      <c r="S6" s="16"/>
      <c r="T6" s="16"/>
      <c r="U6" s="16"/>
      <c r="V6" s="16"/>
      <c r="W6" s="16"/>
      <c r="X6" s="16"/>
      <c r="Y6" s="16"/>
      <c r="AH6" s="6"/>
      <c r="AI6" s="6"/>
    </row>
    <row r="7" spans="2:35" x14ac:dyDescent="0.25">
      <c r="B7" s="119"/>
      <c r="C7" s="15" t="s">
        <v>19</v>
      </c>
      <c r="D7" s="16">
        <v>50000000</v>
      </c>
      <c r="E7" s="17">
        <v>42324</v>
      </c>
      <c r="F7" s="17">
        <v>45978</v>
      </c>
      <c r="G7" s="19" t="s">
        <v>20</v>
      </c>
      <c r="H7" s="20">
        <v>2.4E-2</v>
      </c>
      <c r="I7" s="16">
        <v>12500000</v>
      </c>
      <c r="J7" s="16">
        <v>6250000</v>
      </c>
      <c r="K7" s="16">
        <v>0</v>
      </c>
      <c r="L7" s="84">
        <f t="shared" ref="L7:L53" si="1">+I7-J7</f>
        <v>6250000</v>
      </c>
      <c r="M7" s="16">
        <v>710838.37</v>
      </c>
      <c r="N7" s="16">
        <v>8767.4</v>
      </c>
      <c r="O7" s="16">
        <f t="shared" si="0"/>
        <v>43750000</v>
      </c>
      <c r="P7" s="18"/>
      <c r="Q7" s="16">
        <v>6250000</v>
      </c>
      <c r="R7" s="16"/>
      <c r="S7" s="16"/>
      <c r="T7" s="16"/>
      <c r="U7" s="16"/>
      <c r="V7" s="16"/>
      <c r="W7" s="16"/>
      <c r="X7" s="16"/>
      <c r="Y7" s="16"/>
      <c r="AH7" s="6"/>
      <c r="AI7" s="6"/>
    </row>
    <row r="8" spans="2:35" x14ac:dyDescent="0.25">
      <c r="B8" s="119"/>
      <c r="C8" s="15" t="s">
        <v>23</v>
      </c>
      <c r="D8" s="16">
        <v>10500000</v>
      </c>
      <c r="E8" s="17">
        <v>42590</v>
      </c>
      <c r="F8" s="17">
        <v>46973</v>
      </c>
      <c r="G8" s="19" t="s">
        <v>20</v>
      </c>
      <c r="H8" s="20">
        <v>7.4999999999999997E-3</v>
      </c>
      <c r="I8" s="16">
        <v>10500000</v>
      </c>
      <c r="J8" s="16">
        <v>0</v>
      </c>
      <c r="K8" s="16">
        <v>0</v>
      </c>
      <c r="L8" s="84">
        <f t="shared" si="1"/>
        <v>10500000</v>
      </c>
      <c r="M8" s="16">
        <v>499702</v>
      </c>
      <c r="N8" s="16">
        <v>5800</v>
      </c>
      <c r="O8" s="16">
        <f t="shared" si="0"/>
        <v>0</v>
      </c>
      <c r="P8" s="18" t="s">
        <v>148</v>
      </c>
      <c r="Q8" s="16"/>
      <c r="R8" s="16"/>
      <c r="S8" s="16"/>
      <c r="T8" s="16">
        <v>10500000</v>
      </c>
      <c r="U8" s="16"/>
      <c r="V8" s="16"/>
      <c r="W8" s="16"/>
      <c r="X8" s="16"/>
      <c r="Y8" s="16"/>
      <c r="AH8" s="6"/>
      <c r="AI8" s="6"/>
    </row>
    <row r="9" spans="2:35" x14ac:dyDescent="0.25">
      <c r="B9" s="119"/>
      <c r="C9" s="15" t="s">
        <v>22</v>
      </c>
      <c r="D9" s="16">
        <v>63000000</v>
      </c>
      <c r="E9" s="17">
        <v>42860</v>
      </c>
      <c r="F9" s="17">
        <v>45782</v>
      </c>
      <c r="G9" s="93">
        <v>3.7999999999999999E-2</v>
      </c>
      <c r="H9" s="93"/>
      <c r="I9" s="16">
        <v>21000000</v>
      </c>
      <c r="J9" s="16">
        <v>10500000.039999999</v>
      </c>
      <c r="K9" s="16">
        <v>0</v>
      </c>
      <c r="L9" s="84">
        <v>0</v>
      </c>
      <c r="M9" s="16">
        <v>399000</v>
      </c>
      <c r="N9" s="16">
        <v>10000</v>
      </c>
      <c r="O9" s="16">
        <f t="shared" si="0"/>
        <v>63000000</v>
      </c>
      <c r="P9" s="18" t="s">
        <v>149</v>
      </c>
      <c r="Q9" s="16"/>
      <c r="R9" s="16"/>
      <c r="S9" s="16"/>
      <c r="T9" s="16"/>
      <c r="U9" s="16"/>
      <c r="V9" s="16"/>
      <c r="W9" s="16"/>
      <c r="X9" s="16"/>
      <c r="Y9" s="16"/>
      <c r="AH9" s="6"/>
      <c r="AI9" s="6"/>
    </row>
    <row r="10" spans="2:35" x14ac:dyDescent="0.25">
      <c r="B10" s="119"/>
      <c r="C10" s="15" t="s">
        <v>23</v>
      </c>
      <c r="D10" s="16">
        <v>35000000</v>
      </c>
      <c r="E10" s="17">
        <v>42892</v>
      </c>
      <c r="F10" s="17">
        <v>45820</v>
      </c>
      <c r="G10" s="19" t="s">
        <v>21</v>
      </c>
      <c r="H10" s="20">
        <v>2.4E-2</v>
      </c>
      <c r="I10" s="16">
        <v>11666668</v>
      </c>
      <c r="J10" s="16">
        <v>5833333</v>
      </c>
      <c r="K10" s="16">
        <v>0</v>
      </c>
      <c r="L10" s="84">
        <f t="shared" si="1"/>
        <v>5833335</v>
      </c>
      <c r="M10" s="16">
        <v>749978.14</v>
      </c>
      <c r="N10" s="16">
        <v>3500</v>
      </c>
      <c r="O10" s="16">
        <f t="shared" si="0"/>
        <v>29166665</v>
      </c>
      <c r="P10" s="18"/>
      <c r="Q10" s="16">
        <v>5833335</v>
      </c>
      <c r="R10" s="16"/>
      <c r="S10" s="16"/>
      <c r="T10" s="16"/>
      <c r="U10" s="16"/>
      <c r="V10" s="16"/>
      <c r="W10" s="16"/>
      <c r="X10" s="16"/>
      <c r="Y10" s="16"/>
      <c r="AH10" s="6"/>
      <c r="AI10" s="6"/>
    </row>
    <row r="11" spans="2:35" x14ac:dyDescent="0.25">
      <c r="B11" s="119"/>
      <c r="C11" s="15" t="s">
        <v>24</v>
      </c>
      <c r="D11" s="16">
        <v>30000000</v>
      </c>
      <c r="E11" s="17">
        <v>42898</v>
      </c>
      <c r="F11" s="17">
        <v>46552</v>
      </c>
      <c r="G11" s="19" t="s">
        <v>21</v>
      </c>
      <c r="H11" s="20">
        <v>2.4E-2</v>
      </c>
      <c r="I11" s="16">
        <v>30000000</v>
      </c>
      <c r="J11" s="16">
        <v>0</v>
      </c>
      <c r="K11" s="16">
        <v>0</v>
      </c>
      <c r="L11" s="84">
        <f t="shared" si="1"/>
        <v>30000000</v>
      </c>
      <c r="M11" s="16">
        <v>1871632.5</v>
      </c>
      <c r="N11" s="16">
        <v>0</v>
      </c>
      <c r="O11" s="16">
        <f t="shared" si="0"/>
        <v>0</v>
      </c>
      <c r="P11" s="18"/>
      <c r="Q11" s="16"/>
      <c r="R11" s="16"/>
      <c r="S11" s="16">
        <v>30000000</v>
      </c>
      <c r="T11" s="16"/>
      <c r="U11" s="16"/>
      <c r="V11" s="16"/>
      <c r="W11" s="16"/>
      <c r="X11" s="16"/>
      <c r="Y11" s="16"/>
      <c r="AH11" s="6"/>
      <c r="AI11" s="6"/>
    </row>
    <row r="12" spans="2:35" x14ac:dyDescent="0.25">
      <c r="B12" s="119"/>
      <c r="C12" s="15" t="s">
        <v>22</v>
      </c>
      <c r="D12" s="16">
        <v>40000000</v>
      </c>
      <c r="E12" s="17">
        <v>43220</v>
      </c>
      <c r="F12" s="17">
        <v>46142</v>
      </c>
      <c r="G12" s="93">
        <v>3.2500000000000001E-2</v>
      </c>
      <c r="H12" s="93"/>
      <c r="I12" s="16">
        <v>20000000.020000003</v>
      </c>
      <c r="J12" s="16">
        <v>6666666.6600000001</v>
      </c>
      <c r="K12" s="16">
        <v>0</v>
      </c>
      <c r="L12" s="84">
        <v>0</v>
      </c>
      <c r="M12" s="16">
        <v>595000</v>
      </c>
      <c r="N12" s="16">
        <v>20000</v>
      </c>
      <c r="O12" s="16">
        <f t="shared" si="0"/>
        <v>40000000</v>
      </c>
      <c r="P12" s="18" t="s">
        <v>149</v>
      </c>
      <c r="Q12" s="16"/>
      <c r="R12" s="16"/>
      <c r="S12" s="16"/>
      <c r="T12" s="16"/>
      <c r="U12" s="16"/>
      <c r="V12" s="16"/>
      <c r="W12" s="16"/>
      <c r="X12" s="16"/>
      <c r="Y12" s="16"/>
      <c r="AH12" s="6"/>
      <c r="AI12" s="6"/>
    </row>
    <row r="13" spans="2:35" x14ac:dyDescent="0.25">
      <c r="B13" s="119"/>
      <c r="C13" s="15" t="s">
        <v>25</v>
      </c>
      <c r="D13" s="16">
        <v>50000000</v>
      </c>
      <c r="E13" s="17">
        <v>43259</v>
      </c>
      <c r="F13" s="17">
        <v>46912</v>
      </c>
      <c r="G13" s="19" t="s">
        <v>21</v>
      </c>
      <c r="H13" s="20">
        <v>1.7500000000000002E-2</v>
      </c>
      <c r="I13" s="16">
        <v>45500000</v>
      </c>
      <c r="J13" s="16">
        <v>4500000</v>
      </c>
      <c r="K13" s="16">
        <v>0</v>
      </c>
      <c r="L13" s="84">
        <f t="shared" si="1"/>
        <v>41000000</v>
      </c>
      <c r="M13" s="16">
        <v>2597606.37</v>
      </c>
      <c r="N13" s="16">
        <v>30</v>
      </c>
      <c r="O13" s="16">
        <f t="shared" si="0"/>
        <v>9000000</v>
      </c>
      <c r="P13" s="18"/>
      <c r="Q13" s="16">
        <v>4500000</v>
      </c>
      <c r="R13" s="16">
        <v>4500000</v>
      </c>
      <c r="S13" s="16">
        <v>4500000</v>
      </c>
      <c r="T13" s="16">
        <v>27500000</v>
      </c>
      <c r="U13" s="16"/>
      <c r="V13" s="16"/>
      <c r="W13" s="16"/>
      <c r="X13" s="16"/>
      <c r="Y13" s="16"/>
      <c r="AH13" s="6"/>
      <c r="AI13" s="6"/>
    </row>
    <row r="14" spans="2:35" x14ac:dyDescent="0.25">
      <c r="B14" s="119"/>
      <c r="C14" s="15" t="s">
        <v>25</v>
      </c>
      <c r="D14" s="16">
        <v>51000000</v>
      </c>
      <c r="E14" s="17">
        <v>43419</v>
      </c>
      <c r="F14" s="17">
        <v>47072</v>
      </c>
      <c r="G14" s="19" t="s">
        <v>21</v>
      </c>
      <c r="H14" s="20">
        <v>1.7500000000000002E-2</v>
      </c>
      <c r="I14" s="16">
        <v>46410000</v>
      </c>
      <c r="J14" s="16">
        <v>4590000</v>
      </c>
      <c r="K14" s="16">
        <v>0</v>
      </c>
      <c r="L14" s="84">
        <f t="shared" si="1"/>
        <v>41820000</v>
      </c>
      <c r="M14" s="16">
        <v>2719220.6900000004</v>
      </c>
      <c r="N14" s="16">
        <v>0</v>
      </c>
      <c r="O14" s="16">
        <f t="shared" si="0"/>
        <v>9180000</v>
      </c>
      <c r="P14" s="18"/>
      <c r="Q14" s="16">
        <v>4590000</v>
      </c>
      <c r="R14" s="16">
        <v>4590000</v>
      </c>
      <c r="S14" s="16">
        <v>4590000</v>
      </c>
      <c r="T14" s="16">
        <v>28050000</v>
      </c>
      <c r="U14" s="16"/>
      <c r="V14" s="16"/>
      <c r="W14" s="16"/>
      <c r="X14" s="16"/>
      <c r="Y14" s="16"/>
      <c r="AH14" s="6"/>
      <c r="AI14" s="6"/>
    </row>
    <row r="15" spans="2:35" x14ac:dyDescent="0.25">
      <c r="B15" s="119"/>
      <c r="C15" s="15" t="s">
        <v>26</v>
      </c>
      <c r="D15" s="16">
        <v>223500000</v>
      </c>
      <c r="E15" s="17">
        <v>43669</v>
      </c>
      <c r="F15" s="17">
        <v>47298</v>
      </c>
      <c r="G15" s="93">
        <v>1.0059999999999999E-2</v>
      </c>
      <c r="H15" s="93"/>
      <c r="I15" s="16">
        <v>223500000</v>
      </c>
      <c r="J15" s="16">
        <v>0</v>
      </c>
      <c r="K15" s="16">
        <v>0</v>
      </c>
      <c r="L15" s="84">
        <f t="shared" si="1"/>
        <v>223500000</v>
      </c>
      <c r="M15" s="16">
        <v>2248410</v>
      </c>
      <c r="N15" s="16">
        <v>9791.93</v>
      </c>
      <c r="O15" s="16">
        <f t="shared" si="0"/>
        <v>0</v>
      </c>
      <c r="P15" s="18"/>
      <c r="Q15" s="16"/>
      <c r="R15" s="16"/>
      <c r="S15" s="16"/>
      <c r="T15" s="16"/>
      <c r="U15" s="16">
        <v>223500000</v>
      </c>
      <c r="V15" s="16"/>
      <c r="W15" s="16"/>
      <c r="X15" s="16"/>
      <c r="Y15" s="16"/>
      <c r="AH15" s="6"/>
      <c r="AI15" s="6"/>
    </row>
    <row r="16" spans="2:35" x14ac:dyDescent="0.25">
      <c r="B16" s="119"/>
      <c r="C16" s="15" t="s">
        <v>24</v>
      </c>
      <c r="D16" s="16">
        <v>25000000</v>
      </c>
      <c r="E16" s="17">
        <v>43900</v>
      </c>
      <c r="F16" s="17">
        <v>45726</v>
      </c>
      <c r="G16" s="19" t="s">
        <v>20</v>
      </c>
      <c r="H16" s="20">
        <v>9.4999999999999998E-3</v>
      </c>
      <c r="I16" s="16">
        <v>10000000</v>
      </c>
      <c r="J16" s="16">
        <v>0</v>
      </c>
      <c r="K16" s="16">
        <v>0</v>
      </c>
      <c r="L16" s="84">
        <v>10000000</v>
      </c>
      <c r="M16" s="16">
        <v>510922.22</v>
      </c>
      <c r="N16" s="16">
        <v>150000</v>
      </c>
      <c r="O16" s="16">
        <f t="shared" si="0"/>
        <v>15000000</v>
      </c>
      <c r="P16" s="18" t="s">
        <v>27</v>
      </c>
      <c r="Q16" s="16"/>
      <c r="R16" s="16"/>
      <c r="S16" s="16">
        <v>5000000</v>
      </c>
      <c r="T16" s="16">
        <v>5000000</v>
      </c>
      <c r="U16" s="16"/>
      <c r="V16" s="16"/>
      <c r="W16" s="16"/>
      <c r="X16" s="16"/>
      <c r="Y16" s="16"/>
      <c r="AH16" s="6"/>
      <c r="AI16" s="6"/>
    </row>
    <row r="17" spans="2:35" x14ac:dyDescent="0.25">
      <c r="B17" s="119"/>
      <c r="C17" s="15" t="s">
        <v>28</v>
      </c>
      <c r="D17" s="16">
        <v>1500000</v>
      </c>
      <c r="E17" s="17">
        <v>43880</v>
      </c>
      <c r="F17" s="17">
        <v>45707</v>
      </c>
      <c r="G17" s="19" t="s">
        <v>20</v>
      </c>
      <c r="H17" s="20">
        <v>1.2500000000000001E-2</v>
      </c>
      <c r="I17" s="16">
        <v>600000</v>
      </c>
      <c r="J17" s="16">
        <v>300000</v>
      </c>
      <c r="K17" s="16">
        <v>0</v>
      </c>
      <c r="L17" s="84">
        <f t="shared" si="1"/>
        <v>300000</v>
      </c>
      <c r="M17" s="16">
        <v>29333.83</v>
      </c>
      <c r="N17" s="16">
        <v>0</v>
      </c>
      <c r="O17" s="16">
        <f t="shared" si="0"/>
        <v>1200000</v>
      </c>
      <c r="P17" s="18" t="s">
        <v>27</v>
      </c>
      <c r="Q17" s="16">
        <v>300000</v>
      </c>
      <c r="R17" s="16"/>
      <c r="S17" s="16"/>
      <c r="T17" s="16"/>
      <c r="U17" s="16"/>
      <c r="V17" s="16"/>
      <c r="W17" s="16"/>
      <c r="X17" s="16"/>
      <c r="Y17" s="16"/>
      <c r="AH17" s="6"/>
      <c r="AI17" s="6"/>
    </row>
    <row r="18" spans="2:35" x14ac:dyDescent="0.25">
      <c r="B18" s="119"/>
      <c r="C18" s="15" t="s">
        <v>23</v>
      </c>
      <c r="D18" s="16">
        <v>12368873.42</v>
      </c>
      <c r="E18" s="17">
        <v>43844</v>
      </c>
      <c r="F18" s="17">
        <v>46051</v>
      </c>
      <c r="G18" s="19" t="s">
        <v>20</v>
      </c>
      <c r="H18" s="20">
        <v>2.5000000000000001E-2</v>
      </c>
      <c r="I18" s="16">
        <v>6184436.6999999993</v>
      </c>
      <c r="J18" s="16">
        <v>2061478.9</v>
      </c>
      <c r="K18" s="16">
        <v>0</v>
      </c>
      <c r="L18" s="84">
        <f t="shared" si="1"/>
        <v>4122957.7999999993</v>
      </c>
      <c r="M18" s="16">
        <v>366939.8</v>
      </c>
      <c r="N18" s="16">
        <v>3500</v>
      </c>
      <c r="O18" s="16">
        <f t="shared" si="0"/>
        <v>8245915.620000001</v>
      </c>
      <c r="P18" s="18" t="s">
        <v>27</v>
      </c>
      <c r="Q18" s="16">
        <v>2061478.9</v>
      </c>
      <c r="R18" s="16">
        <v>2061478.9</v>
      </c>
      <c r="S18" s="16"/>
      <c r="T18" s="16"/>
      <c r="U18" s="16"/>
      <c r="V18" s="16"/>
      <c r="W18" s="16"/>
      <c r="X18" s="16"/>
      <c r="Y18" s="16"/>
      <c r="AH18" s="6"/>
      <c r="AI18" s="6"/>
    </row>
    <row r="19" spans="2:35" x14ac:dyDescent="0.25">
      <c r="B19" s="119"/>
      <c r="C19" s="15" t="s">
        <v>22</v>
      </c>
      <c r="D19" s="16">
        <v>24500000</v>
      </c>
      <c r="E19" s="17">
        <v>43881</v>
      </c>
      <c r="F19" s="17">
        <v>45342</v>
      </c>
      <c r="G19" s="19" t="s">
        <v>21</v>
      </c>
      <c r="H19" s="20">
        <v>0.02</v>
      </c>
      <c r="I19" s="16">
        <v>4750000</v>
      </c>
      <c r="J19" s="16">
        <v>4750000</v>
      </c>
      <c r="K19" s="16">
        <v>0</v>
      </c>
      <c r="L19" s="84">
        <f t="shared" si="1"/>
        <v>0</v>
      </c>
      <c r="M19" s="16">
        <v>257028.4375</v>
      </c>
      <c r="N19" s="16">
        <v>0</v>
      </c>
      <c r="O19" s="16">
        <f t="shared" si="0"/>
        <v>24500000</v>
      </c>
      <c r="P19" s="18" t="s">
        <v>27</v>
      </c>
      <c r="Q19" s="16"/>
      <c r="R19" s="16"/>
      <c r="S19" s="16"/>
      <c r="T19" s="16"/>
      <c r="U19" s="16"/>
      <c r="V19" s="16"/>
      <c r="W19" s="16"/>
      <c r="X19" s="16"/>
      <c r="Y19" s="16"/>
      <c r="AH19" s="6"/>
      <c r="AI19" s="6"/>
    </row>
    <row r="20" spans="2:35" x14ac:dyDescent="0.25">
      <c r="B20" s="119"/>
      <c r="C20" s="15" t="s">
        <v>22</v>
      </c>
      <c r="D20" s="16">
        <v>29800000</v>
      </c>
      <c r="E20" s="17">
        <v>43866</v>
      </c>
      <c r="F20" s="17">
        <v>45721</v>
      </c>
      <c r="G20" s="19" t="s">
        <v>21</v>
      </c>
      <c r="H20" s="20">
        <v>2.2499999999999999E-2</v>
      </c>
      <c r="I20" s="16">
        <v>11920000</v>
      </c>
      <c r="J20" s="16">
        <v>5960000</v>
      </c>
      <c r="K20" s="16">
        <v>0</v>
      </c>
      <c r="L20" s="84">
        <v>0</v>
      </c>
      <c r="M20" s="16">
        <v>689452.8</v>
      </c>
      <c r="N20" s="16">
        <v>0</v>
      </c>
      <c r="O20" s="16">
        <f t="shared" si="0"/>
        <v>29800000</v>
      </c>
      <c r="P20" s="18" t="s">
        <v>149</v>
      </c>
      <c r="Q20" s="16"/>
      <c r="R20" s="16"/>
      <c r="S20" s="16"/>
      <c r="T20" s="16"/>
      <c r="U20" s="16"/>
      <c r="V20" s="16"/>
      <c r="W20" s="16"/>
      <c r="X20" s="16"/>
      <c r="Y20" s="16"/>
      <c r="AH20" s="6"/>
      <c r="AI20" s="6"/>
    </row>
    <row r="21" spans="2:35" x14ac:dyDescent="0.25">
      <c r="B21" s="119"/>
      <c r="C21" s="15" t="s">
        <v>30</v>
      </c>
      <c r="D21" s="16">
        <v>180000000</v>
      </c>
      <c r="E21" s="17">
        <v>43957</v>
      </c>
      <c r="F21" s="17">
        <v>46485</v>
      </c>
      <c r="G21" s="93">
        <v>1.448E-2</v>
      </c>
      <c r="H21" s="93"/>
      <c r="I21" s="16">
        <v>180000000</v>
      </c>
      <c r="J21" s="16">
        <v>0</v>
      </c>
      <c r="K21" s="16">
        <v>0</v>
      </c>
      <c r="L21" s="84">
        <f t="shared" si="1"/>
        <v>180000000</v>
      </c>
      <c r="M21" s="16">
        <v>2606400</v>
      </c>
      <c r="N21" s="16">
        <v>7500</v>
      </c>
      <c r="O21" s="16">
        <f t="shared" si="0"/>
        <v>0</v>
      </c>
      <c r="P21" s="18"/>
      <c r="Q21" s="16"/>
      <c r="R21" s="16"/>
      <c r="S21" s="16">
        <v>180000000</v>
      </c>
      <c r="T21" s="16"/>
      <c r="U21" s="16"/>
      <c r="V21" s="16"/>
      <c r="W21" s="16"/>
      <c r="X21" s="16"/>
      <c r="Y21" s="16"/>
      <c r="AH21" s="6"/>
      <c r="AI21" s="6"/>
    </row>
    <row r="22" spans="2:35" x14ac:dyDescent="0.25">
      <c r="B22" s="119"/>
      <c r="C22" s="15" t="s">
        <v>31</v>
      </c>
      <c r="D22" s="16">
        <v>200000000</v>
      </c>
      <c r="E22" s="17">
        <v>43971</v>
      </c>
      <c r="F22" s="17">
        <v>47623</v>
      </c>
      <c r="G22" s="93">
        <v>1.55E-2</v>
      </c>
      <c r="H22" s="93"/>
      <c r="I22" s="16">
        <v>200000000</v>
      </c>
      <c r="J22" s="16">
        <v>0</v>
      </c>
      <c r="K22" s="16">
        <v>0</v>
      </c>
      <c r="L22" s="84">
        <f t="shared" si="1"/>
        <v>200000000</v>
      </c>
      <c r="M22" s="16">
        <v>3100000</v>
      </c>
      <c r="N22" s="16">
        <v>7878.57</v>
      </c>
      <c r="O22" s="16">
        <f t="shared" si="0"/>
        <v>0</v>
      </c>
      <c r="P22" s="18"/>
      <c r="Q22" s="16"/>
      <c r="R22" s="16"/>
      <c r="S22" s="16"/>
      <c r="T22" s="16"/>
      <c r="U22" s="16"/>
      <c r="V22" s="16">
        <v>200000000</v>
      </c>
      <c r="W22" s="16"/>
      <c r="X22" s="16"/>
      <c r="Y22" s="16"/>
      <c r="AH22" s="6"/>
      <c r="AI22" s="6"/>
    </row>
    <row r="23" spans="2:35" x14ac:dyDescent="0.25">
      <c r="B23" s="119"/>
      <c r="C23" s="15" t="s">
        <v>32</v>
      </c>
      <c r="D23" s="16">
        <v>285000000</v>
      </c>
      <c r="E23" s="17">
        <v>44111</v>
      </c>
      <c r="F23" s="17">
        <v>46126</v>
      </c>
      <c r="G23" s="93">
        <v>1.095E-2</v>
      </c>
      <c r="H23" s="93"/>
      <c r="I23" s="16">
        <v>285000000</v>
      </c>
      <c r="J23" s="16">
        <v>0</v>
      </c>
      <c r="K23" s="16">
        <v>0</v>
      </c>
      <c r="L23" s="84">
        <f t="shared" si="1"/>
        <v>285000000</v>
      </c>
      <c r="M23" s="16">
        <v>1718550</v>
      </c>
      <c r="N23" s="16">
        <v>4181.8</v>
      </c>
      <c r="O23" s="16">
        <f t="shared" si="0"/>
        <v>0</v>
      </c>
      <c r="P23" s="18"/>
      <c r="Q23" s="16"/>
      <c r="R23" s="16">
        <v>285000000</v>
      </c>
      <c r="S23" s="16"/>
      <c r="T23" s="16"/>
      <c r="U23" s="16"/>
      <c r="V23" s="16"/>
      <c r="W23" s="16"/>
      <c r="X23" s="16"/>
      <c r="Y23" s="16"/>
      <c r="AH23" s="6"/>
      <c r="AI23" s="6"/>
    </row>
    <row r="24" spans="2:35" x14ac:dyDescent="0.25">
      <c r="B24" s="119"/>
      <c r="C24" s="15" t="s">
        <v>33</v>
      </c>
      <c r="D24" s="16">
        <v>435000000</v>
      </c>
      <c r="E24" s="17">
        <v>44466</v>
      </c>
      <c r="F24" s="17">
        <v>49945</v>
      </c>
      <c r="G24" s="93">
        <v>6.0299999999999998E-3</v>
      </c>
      <c r="H24" s="93"/>
      <c r="I24" s="16">
        <v>435000000</v>
      </c>
      <c r="J24" s="16">
        <v>0</v>
      </c>
      <c r="K24" s="16">
        <v>0</v>
      </c>
      <c r="L24" s="84">
        <f t="shared" si="1"/>
        <v>435000000</v>
      </c>
      <c r="M24" s="16">
        <v>4763250</v>
      </c>
      <c r="N24" s="16">
        <v>3713.15</v>
      </c>
      <c r="O24" s="16">
        <f t="shared" si="0"/>
        <v>0</v>
      </c>
      <c r="P24" s="18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>
        <v>435000000</v>
      </c>
      <c r="AH24" s="6"/>
      <c r="AI24" s="6"/>
    </row>
    <row r="25" spans="2:35" x14ac:dyDescent="0.25">
      <c r="B25" s="119"/>
      <c r="C25" s="15" t="s">
        <v>33</v>
      </c>
      <c r="D25" s="16">
        <v>455000000</v>
      </c>
      <c r="E25" s="17">
        <v>44657</v>
      </c>
      <c r="F25" s="17">
        <v>48310</v>
      </c>
      <c r="G25" s="93">
        <v>2.163E-2</v>
      </c>
      <c r="H25" s="93"/>
      <c r="I25" s="16">
        <v>455000000</v>
      </c>
      <c r="J25" s="16">
        <v>0</v>
      </c>
      <c r="K25" s="16">
        <v>0</v>
      </c>
      <c r="L25" s="84">
        <f t="shared" si="1"/>
        <v>455000000</v>
      </c>
      <c r="M25" s="16">
        <v>9841650</v>
      </c>
      <c r="N25" s="16">
        <v>3605</v>
      </c>
      <c r="O25" s="16">
        <f t="shared" si="0"/>
        <v>0</v>
      </c>
      <c r="P25" s="18"/>
      <c r="Q25" s="16"/>
      <c r="R25" s="16"/>
      <c r="S25" s="16"/>
      <c r="T25" s="16"/>
      <c r="U25" s="16"/>
      <c r="V25" s="16"/>
      <c r="W25" s="16"/>
      <c r="X25" s="16">
        <v>455000000</v>
      </c>
      <c r="Y25" s="16"/>
      <c r="Z25" s="16"/>
      <c r="AA25" s="16"/>
      <c r="AB25" s="16"/>
      <c r="AH25" s="6"/>
      <c r="AI25" s="6"/>
    </row>
    <row r="26" spans="2:35" x14ac:dyDescent="0.25">
      <c r="B26" s="119"/>
      <c r="C26" s="15" t="s">
        <v>119</v>
      </c>
      <c r="D26" s="16">
        <v>230000000</v>
      </c>
      <c r="E26" s="21">
        <v>45103</v>
      </c>
      <c r="F26" s="21">
        <v>47043</v>
      </c>
      <c r="G26" s="93">
        <v>3.7229999999999999E-2</v>
      </c>
      <c r="H26" s="93"/>
      <c r="I26" s="16">
        <v>230000000</v>
      </c>
      <c r="J26" s="16">
        <v>0</v>
      </c>
      <c r="K26" s="16">
        <v>0</v>
      </c>
      <c r="L26" s="84">
        <v>230000000</v>
      </c>
      <c r="M26" s="16">
        <v>8556000</v>
      </c>
      <c r="N26" s="16">
        <v>3605</v>
      </c>
      <c r="O26" s="16">
        <f t="shared" si="0"/>
        <v>0</v>
      </c>
      <c r="P26" s="18"/>
      <c r="Q26" s="16"/>
      <c r="R26" s="16"/>
      <c r="S26" s="16"/>
      <c r="T26" s="16">
        <v>230000000</v>
      </c>
      <c r="U26" s="16"/>
      <c r="V26" s="16"/>
      <c r="W26" s="16"/>
      <c r="X26" s="16"/>
      <c r="Y26" s="16"/>
      <c r="Z26" s="16"/>
      <c r="AA26" s="16"/>
      <c r="AB26" s="16"/>
      <c r="AH26" s="6"/>
      <c r="AI26" s="6"/>
    </row>
    <row r="27" spans="2:35" x14ac:dyDescent="0.25">
      <c r="B27" s="119"/>
      <c r="C27" s="15" t="s">
        <v>25</v>
      </c>
      <c r="D27" s="16">
        <v>32000000</v>
      </c>
      <c r="E27" s="17">
        <v>45105</v>
      </c>
      <c r="F27" s="17">
        <v>48758</v>
      </c>
      <c r="G27" s="73" t="s">
        <v>35</v>
      </c>
      <c r="H27" s="20">
        <v>4.5999999999999999E-3</v>
      </c>
      <c r="I27" s="16">
        <v>32000000</v>
      </c>
      <c r="J27" s="16">
        <v>0</v>
      </c>
      <c r="K27" s="16">
        <v>0</v>
      </c>
      <c r="L27" s="84">
        <v>32000000</v>
      </c>
      <c r="M27" s="16">
        <v>1021866.67</v>
      </c>
      <c r="N27" s="16">
        <v>0</v>
      </c>
      <c r="O27" s="16">
        <f t="shared" si="0"/>
        <v>0</v>
      </c>
      <c r="P27" s="18"/>
      <c r="Q27" s="16"/>
      <c r="R27" s="16"/>
      <c r="S27" s="16"/>
      <c r="T27" s="16">
        <v>5000000</v>
      </c>
      <c r="U27" s="16"/>
      <c r="V27" s="16"/>
      <c r="W27" s="16">
        <v>10000000</v>
      </c>
      <c r="X27" s="16"/>
      <c r="Y27" s="16">
        <v>17000000</v>
      </c>
      <c r="Z27" s="16"/>
      <c r="AA27" s="16"/>
      <c r="AB27" s="16"/>
      <c r="AH27" s="6"/>
      <c r="AI27" s="6"/>
    </row>
    <row r="28" spans="2:35" x14ac:dyDescent="0.25">
      <c r="B28" s="119"/>
      <c r="C28" s="15" t="s">
        <v>143</v>
      </c>
      <c r="D28" s="16">
        <v>110000000</v>
      </c>
      <c r="E28" s="17">
        <v>45457</v>
      </c>
      <c r="F28" s="17">
        <v>48014</v>
      </c>
      <c r="G28" s="93">
        <v>3.2620000000000003E-2</v>
      </c>
      <c r="H28" s="93"/>
      <c r="I28" s="16">
        <v>0</v>
      </c>
      <c r="J28" s="16">
        <v>0</v>
      </c>
      <c r="K28" s="16">
        <v>0</v>
      </c>
      <c r="L28" s="84">
        <v>110000000</v>
      </c>
      <c r="M28" s="16">
        <v>0</v>
      </c>
      <c r="N28" s="16">
        <v>0</v>
      </c>
      <c r="O28" s="16">
        <f t="shared" si="0"/>
        <v>0</v>
      </c>
      <c r="P28" s="18"/>
      <c r="Q28" s="16">
        <v>15714285.75</v>
      </c>
      <c r="R28" s="16">
        <v>15714285.75</v>
      </c>
      <c r="S28" s="16">
        <v>15714285.75</v>
      </c>
      <c r="T28" s="16">
        <v>15714285.75</v>
      </c>
      <c r="U28" s="16">
        <v>15714285.75</v>
      </c>
      <c r="V28" s="16">
        <v>15714285.75</v>
      </c>
      <c r="W28" s="16">
        <v>15714285.75</v>
      </c>
      <c r="X28" s="16"/>
      <c r="Y28" s="16"/>
      <c r="Z28" s="16"/>
      <c r="AA28" s="16"/>
      <c r="AB28" s="16"/>
      <c r="AH28" s="6"/>
      <c r="AI28" s="6"/>
    </row>
    <row r="29" spans="2:35" x14ac:dyDescent="0.25">
      <c r="B29" s="119"/>
      <c r="C29" s="15" t="s">
        <v>45</v>
      </c>
      <c r="D29" s="16">
        <v>17500000</v>
      </c>
      <c r="E29" s="17">
        <v>45500</v>
      </c>
      <c r="F29" s="17">
        <v>48053</v>
      </c>
      <c r="G29" s="93">
        <v>3.193E-2</v>
      </c>
      <c r="H29" s="93"/>
      <c r="I29" s="16">
        <v>0</v>
      </c>
      <c r="J29" s="16">
        <v>0</v>
      </c>
      <c r="K29" s="16">
        <v>0</v>
      </c>
      <c r="L29" s="84">
        <v>17500000</v>
      </c>
      <c r="M29" s="16">
        <v>0</v>
      </c>
      <c r="N29" s="16">
        <v>8750</v>
      </c>
      <c r="O29" s="16">
        <f t="shared" si="0"/>
        <v>0</v>
      </c>
      <c r="P29" s="18"/>
      <c r="Q29" s="16"/>
      <c r="R29" s="16"/>
      <c r="S29" s="16"/>
      <c r="T29" s="16"/>
      <c r="U29" s="16"/>
      <c r="V29" s="16"/>
      <c r="W29" s="16">
        <v>17500000</v>
      </c>
      <c r="X29" s="16"/>
      <c r="Y29" s="16"/>
      <c r="Z29" s="16"/>
      <c r="AA29" s="16"/>
      <c r="AB29" s="16"/>
      <c r="AH29" s="6"/>
      <c r="AI29" s="6"/>
    </row>
    <row r="30" spans="2:35" x14ac:dyDescent="0.25">
      <c r="B30" s="119"/>
      <c r="C30" s="15" t="s">
        <v>23</v>
      </c>
      <c r="D30" s="16">
        <v>17500000</v>
      </c>
      <c r="E30" s="17">
        <v>45502</v>
      </c>
      <c r="F30" s="17">
        <v>48058</v>
      </c>
      <c r="G30" s="93">
        <v>3.2349999999999997E-2</v>
      </c>
      <c r="H30" s="93"/>
      <c r="I30" s="16">
        <v>0</v>
      </c>
      <c r="J30" s="16">
        <v>0</v>
      </c>
      <c r="K30" s="16">
        <v>0</v>
      </c>
      <c r="L30" s="84">
        <v>17500000</v>
      </c>
      <c r="M30" s="16">
        <v>0</v>
      </c>
      <c r="N30" s="16">
        <v>43750</v>
      </c>
      <c r="O30" s="16">
        <f t="shared" si="0"/>
        <v>0</v>
      </c>
      <c r="P30" s="18"/>
      <c r="Q30" s="16"/>
      <c r="R30" s="16"/>
      <c r="S30" s="16"/>
      <c r="T30" s="16"/>
      <c r="U30" s="16"/>
      <c r="V30" s="16"/>
      <c r="W30" s="16">
        <v>17500000</v>
      </c>
      <c r="X30" s="16"/>
      <c r="Y30" s="16"/>
      <c r="Z30" s="16"/>
      <c r="AA30" s="16"/>
      <c r="AB30" s="16"/>
      <c r="AH30" s="6"/>
      <c r="AI30" s="6"/>
    </row>
    <row r="31" spans="2:35" x14ac:dyDescent="0.25">
      <c r="B31" s="119"/>
      <c r="C31" s="15" t="s">
        <v>24</v>
      </c>
      <c r="D31" s="16">
        <v>25000000</v>
      </c>
      <c r="E31" s="17">
        <v>45497</v>
      </c>
      <c r="F31" s="17">
        <v>46229</v>
      </c>
      <c r="G31" s="93">
        <v>3.2890000000000003E-2</v>
      </c>
      <c r="H31" s="93"/>
      <c r="I31" s="16">
        <v>0</v>
      </c>
      <c r="J31" s="16">
        <v>0</v>
      </c>
      <c r="K31" s="16">
        <v>0</v>
      </c>
      <c r="L31" s="84">
        <v>25000000</v>
      </c>
      <c r="M31" s="16">
        <v>0</v>
      </c>
      <c r="N31" s="16">
        <v>37500</v>
      </c>
      <c r="O31" s="16">
        <f t="shared" si="0"/>
        <v>0</v>
      </c>
      <c r="P31" s="18"/>
      <c r="Q31" s="16"/>
      <c r="R31" s="16"/>
      <c r="S31" s="16"/>
      <c r="T31" s="16"/>
      <c r="U31" s="16"/>
      <c r="V31" s="16"/>
      <c r="W31" s="16">
        <v>25000000</v>
      </c>
      <c r="X31" s="16"/>
      <c r="Y31" s="16"/>
      <c r="Z31" s="16"/>
      <c r="AA31" s="16"/>
      <c r="AB31" s="16"/>
      <c r="AH31" s="6"/>
      <c r="AI31" s="6"/>
    </row>
    <row r="32" spans="2:35" x14ac:dyDescent="0.25">
      <c r="B32" s="119"/>
      <c r="C32" s="15" t="s">
        <v>28</v>
      </c>
      <c r="D32" s="16">
        <v>15000000</v>
      </c>
      <c r="E32" s="17">
        <v>45497</v>
      </c>
      <c r="F32" s="17">
        <v>48055</v>
      </c>
      <c r="G32" s="93">
        <v>3.2890000000000003E-2</v>
      </c>
      <c r="H32" s="93"/>
      <c r="I32" s="16">
        <v>0</v>
      </c>
      <c r="J32" s="16">
        <v>0</v>
      </c>
      <c r="K32" s="16">
        <v>0</v>
      </c>
      <c r="L32" s="84">
        <v>15000000</v>
      </c>
      <c r="M32" s="16">
        <v>0</v>
      </c>
      <c r="N32" s="16">
        <v>22500</v>
      </c>
      <c r="O32" s="16">
        <f t="shared" si="0"/>
        <v>0</v>
      </c>
      <c r="P32" s="18"/>
      <c r="Q32" s="16"/>
      <c r="R32" s="16"/>
      <c r="S32" s="16"/>
      <c r="T32" s="16"/>
      <c r="U32" s="16"/>
      <c r="V32" s="16"/>
      <c r="W32" s="16">
        <v>15000000</v>
      </c>
      <c r="X32" s="16"/>
      <c r="Y32" s="16"/>
      <c r="Z32" s="16"/>
      <c r="AA32" s="16"/>
      <c r="AB32" s="16"/>
      <c r="AH32" s="6"/>
      <c r="AI32" s="6"/>
    </row>
    <row r="33" spans="2:35" x14ac:dyDescent="0.25">
      <c r="B33" s="119"/>
      <c r="C33" s="15" t="s">
        <v>150</v>
      </c>
      <c r="D33" s="16">
        <v>37386471.409999996</v>
      </c>
      <c r="E33" s="17">
        <v>45569</v>
      </c>
      <c r="F33" s="17">
        <v>47395</v>
      </c>
      <c r="G33" s="93">
        <v>3.1E-2</v>
      </c>
      <c r="H33" s="93"/>
      <c r="I33" s="16">
        <v>0</v>
      </c>
      <c r="J33" s="16">
        <v>0</v>
      </c>
      <c r="K33" s="16">
        <v>0</v>
      </c>
      <c r="L33" s="84">
        <v>37386471.409999996</v>
      </c>
      <c r="M33" s="16">
        <v>807021.56</v>
      </c>
      <c r="N33" s="16">
        <v>46250</v>
      </c>
      <c r="O33" s="16">
        <f t="shared" si="0"/>
        <v>0</v>
      </c>
      <c r="P33" s="18"/>
      <c r="Q33" s="16"/>
      <c r="R33" s="16"/>
      <c r="S33" s="16"/>
      <c r="U33" s="16">
        <v>37386471.409999996</v>
      </c>
      <c r="V33" s="16"/>
      <c r="W33" s="16"/>
      <c r="X33" s="16"/>
      <c r="Y33" s="16"/>
      <c r="Z33" s="16"/>
      <c r="AA33" s="16"/>
      <c r="AB33" s="16"/>
      <c r="AH33" s="6"/>
      <c r="AI33" s="6"/>
    </row>
    <row r="34" spans="2:35" x14ac:dyDescent="0.25">
      <c r="B34" s="119"/>
      <c r="C34" s="15" t="s">
        <v>34</v>
      </c>
      <c r="D34" s="16">
        <v>11000000</v>
      </c>
      <c r="E34" s="17">
        <v>40057</v>
      </c>
      <c r="F34" s="17">
        <v>45536</v>
      </c>
      <c r="G34" s="19" t="s">
        <v>35</v>
      </c>
      <c r="H34" s="20">
        <v>2.2499999999999999E-2</v>
      </c>
      <c r="I34" s="16">
        <v>750000</v>
      </c>
      <c r="J34" s="16">
        <v>750000</v>
      </c>
      <c r="K34" s="16">
        <v>0</v>
      </c>
      <c r="L34" s="84">
        <f>+I34-J34</f>
        <v>0</v>
      </c>
      <c r="M34" s="16">
        <v>23574.999999999996</v>
      </c>
      <c r="N34" s="16">
        <v>0</v>
      </c>
      <c r="O34" s="16">
        <f t="shared" si="0"/>
        <v>11000000</v>
      </c>
      <c r="P34" s="18" t="s">
        <v>36</v>
      </c>
      <c r="Q34" s="16"/>
      <c r="R34" s="16"/>
      <c r="S34" s="16"/>
      <c r="T34" s="16"/>
      <c r="U34" s="16"/>
      <c r="V34" s="16"/>
      <c r="W34" s="16"/>
      <c r="X34" s="16"/>
      <c r="Y34" s="16"/>
      <c r="AH34" s="6"/>
      <c r="AI34" s="6"/>
    </row>
    <row r="35" spans="2:35" x14ac:dyDescent="0.25">
      <c r="B35" s="119"/>
      <c r="C35" s="15" t="s">
        <v>37</v>
      </c>
      <c r="D35" s="16">
        <v>2500000</v>
      </c>
      <c r="E35" s="17">
        <v>41716</v>
      </c>
      <c r="F35" s="17">
        <v>45369</v>
      </c>
      <c r="G35" s="19" t="s">
        <v>20</v>
      </c>
      <c r="H35" s="20">
        <v>0.02</v>
      </c>
      <c r="I35" s="16">
        <v>151720.05999999994</v>
      </c>
      <c r="J35" s="16">
        <v>151720.06</v>
      </c>
      <c r="K35" s="16">
        <v>0</v>
      </c>
      <c r="L35" s="84">
        <f t="shared" ref="L35:L41" si="2">+I35-J35</f>
        <v>0</v>
      </c>
      <c r="M35" s="16">
        <v>4559.22</v>
      </c>
      <c r="N35" s="16">
        <v>0</v>
      </c>
      <c r="O35" s="16">
        <f t="shared" si="0"/>
        <v>2500000</v>
      </c>
      <c r="P35" s="18" t="s">
        <v>36</v>
      </c>
      <c r="Q35" s="16"/>
      <c r="R35" s="16"/>
      <c r="S35" s="16"/>
      <c r="T35" s="16"/>
      <c r="U35" s="16"/>
      <c r="V35" s="16"/>
      <c r="W35" s="16"/>
      <c r="X35" s="16"/>
      <c r="Y35" s="16"/>
      <c r="AH35" s="6"/>
      <c r="AI35" s="6"/>
    </row>
    <row r="36" spans="2:35" x14ac:dyDescent="0.25">
      <c r="B36" s="119"/>
      <c r="C36" s="15" t="s">
        <v>38</v>
      </c>
      <c r="D36" s="16">
        <v>1713368</v>
      </c>
      <c r="E36" s="17">
        <v>41914</v>
      </c>
      <c r="F36" s="17">
        <v>47102</v>
      </c>
      <c r="G36" s="19" t="s">
        <v>35</v>
      </c>
      <c r="H36" s="20">
        <v>2.4539999999999999E-2</v>
      </c>
      <c r="I36" s="16">
        <v>681158.7799999998</v>
      </c>
      <c r="J36" s="16">
        <v>120185.61</v>
      </c>
      <c r="K36" s="16">
        <v>0</v>
      </c>
      <c r="L36" s="84">
        <f>+I36-J36</f>
        <v>560973.16999999981</v>
      </c>
      <c r="M36" s="16">
        <v>39076.089999999997</v>
      </c>
      <c r="N36" s="16">
        <v>0</v>
      </c>
      <c r="O36" s="16">
        <f t="shared" si="0"/>
        <v>1152394.83</v>
      </c>
      <c r="P36" s="18" t="s">
        <v>36</v>
      </c>
      <c r="Q36" s="16">
        <v>129445.95999999999</v>
      </c>
      <c r="R36" s="16">
        <v>136435.54</v>
      </c>
      <c r="S36" s="16">
        <v>143713.01</v>
      </c>
      <c r="T36" s="16">
        <v>151378.66</v>
      </c>
      <c r="U36" s="16"/>
      <c r="V36" s="16"/>
      <c r="W36" s="16"/>
      <c r="X36" s="16"/>
      <c r="Y36" s="16"/>
      <c r="AH36" s="6"/>
      <c r="AI36" s="6"/>
    </row>
    <row r="37" spans="2:35" x14ac:dyDescent="0.25">
      <c r="B37" s="119"/>
      <c r="C37" s="15" t="s">
        <v>38</v>
      </c>
      <c r="D37" s="16">
        <v>608620.80000000005</v>
      </c>
      <c r="E37" s="17">
        <v>41915</v>
      </c>
      <c r="F37" s="17">
        <v>47102</v>
      </c>
      <c r="G37" s="19" t="s">
        <v>35</v>
      </c>
      <c r="H37" s="20">
        <v>2.4539999999999999E-2</v>
      </c>
      <c r="I37" s="16">
        <v>241960.51999999996</v>
      </c>
      <c r="J37" s="16">
        <v>42692.2</v>
      </c>
      <c r="K37" s="16">
        <v>0</v>
      </c>
      <c r="L37" s="84">
        <f t="shared" si="2"/>
        <v>199268.31999999995</v>
      </c>
      <c r="M37" s="16">
        <v>13880.57</v>
      </c>
      <c r="N37" s="16">
        <v>0</v>
      </c>
      <c r="O37" s="16">
        <f t="shared" si="0"/>
        <v>409352.4800000001</v>
      </c>
      <c r="P37" s="18" t="s">
        <v>36</v>
      </c>
      <c r="Q37" s="16">
        <v>45981.66</v>
      </c>
      <c r="R37" s="16">
        <v>48464.480000000003</v>
      </c>
      <c r="S37" s="16">
        <v>51049.599999999999</v>
      </c>
      <c r="T37" s="16">
        <v>53772.579999999994</v>
      </c>
      <c r="U37" s="16"/>
      <c r="V37" s="16"/>
      <c r="W37" s="16"/>
      <c r="X37" s="16"/>
      <c r="Y37" s="16"/>
      <c r="AH37" s="6"/>
      <c r="AI37" s="6"/>
    </row>
    <row r="38" spans="2:35" x14ac:dyDescent="0.25">
      <c r="B38" s="119"/>
      <c r="C38" s="15" t="s">
        <v>39</v>
      </c>
      <c r="D38" s="16">
        <v>4000000</v>
      </c>
      <c r="E38" s="17">
        <v>42844</v>
      </c>
      <c r="F38" s="17">
        <v>45766</v>
      </c>
      <c r="G38" s="19" t="s">
        <v>35</v>
      </c>
      <c r="H38" s="20">
        <v>2.8000000000000001E-2</v>
      </c>
      <c r="I38" s="16">
        <v>831219.67999999947</v>
      </c>
      <c r="J38" s="16">
        <v>544911.03</v>
      </c>
      <c r="K38" s="16">
        <v>0</v>
      </c>
      <c r="L38" s="84">
        <f t="shared" si="2"/>
        <v>286308.64999999944</v>
      </c>
      <c r="M38" s="16">
        <v>42280.76</v>
      </c>
      <c r="N38" s="16">
        <v>0</v>
      </c>
      <c r="O38" s="16">
        <f t="shared" si="0"/>
        <v>3713691.3500000006</v>
      </c>
      <c r="P38" s="18" t="s">
        <v>36</v>
      </c>
      <c r="Q38" s="16">
        <v>286308.64999999944</v>
      </c>
      <c r="R38" s="16"/>
      <c r="S38" s="16"/>
      <c r="T38" s="16"/>
      <c r="U38" s="16"/>
      <c r="V38" s="16"/>
      <c r="W38" s="16"/>
      <c r="X38" s="16"/>
      <c r="Y38" s="16"/>
      <c r="AH38" s="6"/>
      <c r="AI38" s="6"/>
    </row>
    <row r="39" spans="2:35" x14ac:dyDescent="0.25">
      <c r="B39" s="119"/>
      <c r="C39" s="15" t="s">
        <v>40</v>
      </c>
      <c r="D39" s="16">
        <v>17600000</v>
      </c>
      <c r="E39" s="17">
        <v>43259</v>
      </c>
      <c r="F39" s="17">
        <v>45816</v>
      </c>
      <c r="G39" s="19" t="s">
        <v>20</v>
      </c>
      <c r="H39" s="20">
        <v>1.95E-2</v>
      </c>
      <c r="I39" s="16">
        <v>15066667</v>
      </c>
      <c r="J39" s="16">
        <v>2533333</v>
      </c>
      <c r="K39" s="16">
        <v>0</v>
      </c>
      <c r="L39" s="84">
        <f t="shared" si="2"/>
        <v>12533334</v>
      </c>
      <c r="M39" s="16">
        <v>892030.81</v>
      </c>
      <c r="N39" s="16">
        <v>36</v>
      </c>
      <c r="O39" s="16">
        <f t="shared" si="0"/>
        <v>5066666</v>
      </c>
      <c r="P39" s="18" t="s">
        <v>36</v>
      </c>
      <c r="Q39" s="16">
        <v>12533334</v>
      </c>
      <c r="R39" s="16"/>
      <c r="S39" s="16"/>
      <c r="T39" s="16"/>
      <c r="U39" s="16"/>
      <c r="V39" s="16"/>
      <c r="W39" s="16"/>
      <c r="X39" s="16"/>
      <c r="Y39" s="16"/>
      <c r="AH39" s="6"/>
      <c r="AI39" s="6"/>
    </row>
    <row r="40" spans="2:35" x14ac:dyDescent="0.25">
      <c r="B40" s="119"/>
      <c r="C40" s="15" t="s">
        <v>24</v>
      </c>
      <c r="D40" s="16">
        <v>50000000</v>
      </c>
      <c r="E40" s="17">
        <v>43433</v>
      </c>
      <c r="F40" s="17">
        <v>47070</v>
      </c>
      <c r="G40" s="19" t="s">
        <v>20</v>
      </c>
      <c r="H40" s="20">
        <v>9.4999999999999998E-3</v>
      </c>
      <c r="I40" s="22">
        <v>25000000</v>
      </c>
      <c r="J40" s="16">
        <v>0</v>
      </c>
      <c r="K40" s="16">
        <v>0</v>
      </c>
      <c r="L40" s="84">
        <f t="shared" si="2"/>
        <v>25000000</v>
      </c>
      <c r="M40" s="16">
        <v>1243312.5</v>
      </c>
      <c r="N40" s="16">
        <v>0</v>
      </c>
      <c r="O40" s="16">
        <f t="shared" si="0"/>
        <v>25000000</v>
      </c>
      <c r="P40" s="18" t="s">
        <v>117</v>
      </c>
      <c r="Q40" s="16"/>
      <c r="R40" s="16"/>
      <c r="S40" s="16">
        <v>12500000</v>
      </c>
      <c r="T40" s="16">
        <v>12500000</v>
      </c>
      <c r="U40" s="16"/>
      <c r="V40" s="16"/>
      <c r="W40" s="16"/>
      <c r="X40" s="16"/>
      <c r="Y40" s="16"/>
      <c r="AH40" s="6"/>
      <c r="AI40" s="6"/>
    </row>
    <row r="41" spans="2:35" x14ac:dyDescent="0.25">
      <c r="B41" s="119"/>
      <c r="C41" s="15" t="s">
        <v>43</v>
      </c>
      <c r="D41" s="16">
        <v>120000000</v>
      </c>
      <c r="E41" s="17">
        <v>43739</v>
      </c>
      <c r="F41" s="17">
        <v>46661</v>
      </c>
      <c r="G41" s="93">
        <v>4.9100000000000003E-3</v>
      </c>
      <c r="H41" s="93"/>
      <c r="I41" s="16">
        <v>120000000</v>
      </c>
      <c r="J41" s="16">
        <v>0</v>
      </c>
      <c r="K41" s="16">
        <v>0</v>
      </c>
      <c r="L41" s="84">
        <f t="shared" si="2"/>
        <v>120000000</v>
      </c>
      <c r="M41" s="16">
        <v>589200</v>
      </c>
      <c r="N41" s="16">
        <v>7500</v>
      </c>
      <c r="O41" s="16">
        <f t="shared" si="0"/>
        <v>0</v>
      </c>
      <c r="P41" s="18" t="s">
        <v>29</v>
      </c>
      <c r="Q41" s="16"/>
      <c r="R41" s="16"/>
      <c r="S41" s="16">
        <v>120000000</v>
      </c>
      <c r="T41" s="16"/>
      <c r="U41" s="16"/>
      <c r="V41" s="16"/>
      <c r="W41" s="16"/>
      <c r="X41" s="16"/>
      <c r="Y41" s="16"/>
      <c r="AH41" s="6"/>
      <c r="AI41" s="6"/>
    </row>
    <row r="42" spans="2:35" x14ac:dyDescent="0.25">
      <c r="B42" s="119"/>
      <c r="C42" s="15" t="s">
        <v>22</v>
      </c>
      <c r="D42" s="16">
        <v>25400000</v>
      </c>
      <c r="E42" s="17">
        <v>43754</v>
      </c>
      <c r="F42" s="17">
        <v>46311</v>
      </c>
      <c r="G42" s="93">
        <v>1.5259999999999999E-2</v>
      </c>
      <c r="H42" s="93"/>
      <c r="I42" s="16">
        <v>17780000</v>
      </c>
      <c r="J42" s="16">
        <v>7620000</v>
      </c>
      <c r="K42" s="16">
        <v>0</v>
      </c>
      <c r="L42" s="84">
        <f t="shared" si="1"/>
        <v>10160000</v>
      </c>
      <c r="M42" s="16">
        <v>232562.4</v>
      </c>
      <c r="N42" s="16">
        <v>0</v>
      </c>
      <c r="O42" s="16">
        <f t="shared" si="0"/>
        <v>15240000</v>
      </c>
      <c r="P42" s="18" t="s">
        <v>151</v>
      </c>
      <c r="Q42" s="16">
        <v>5080000</v>
      </c>
      <c r="R42" s="16">
        <v>5080000</v>
      </c>
      <c r="S42" s="16"/>
      <c r="T42" s="16"/>
      <c r="U42" s="16"/>
      <c r="V42" s="16"/>
      <c r="W42" s="16"/>
      <c r="X42" s="16"/>
      <c r="Y42" s="16"/>
      <c r="AH42" s="6"/>
      <c r="AI42" s="6"/>
    </row>
    <row r="43" spans="2:35" x14ac:dyDescent="0.25">
      <c r="B43" s="119"/>
      <c r="C43" s="15" t="s">
        <v>34</v>
      </c>
      <c r="D43" s="16">
        <v>55000000</v>
      </c>
      <c r="E43" s="17">
        <v>43810</v>
      </c>
      <c r="F43" s="17">
        <v>46835</v>
      </c>
      <c r="G43" s="93">
        <v>8.5000000000000006E-3</v>
      </c>
      <c r="H43" s="93"/>
      <c r="I43" s="16">
        <v>55000000</v>
      </c>
      <c r="J43" s="16">
        <v>0</v>
      </c>
      <c r="K43" s="16">
        <v>0</v>
      </c>
      <c r="L43" s="84">
        <f t="shared" si="1"/>
        <v>55000000</v>
      </c>
      <c r="M43" s="16">
        <v>475291.66000000003</v>
      </c>
      <c r="N43" s="16">
        <v>0</v>
      </c>
      <c r="O43" s="16">
        <f t="shared" si="0"/>
        <v>0</v>
      </c>
      <c r="P43" s="18" t="s">
        <v>29</v>
      </c>
      <c r="Q43" s="16"/>
      <c r="R43" s="16"/>
      <c r="S43" s="16"/>
      <c r="T43" s="16">
        <v>55000000</v>
      </c>
      <c r="U43" s="16"/>
      <c r="V43" s="16"/>
      <c r="W43" s="16"/>
      <c r="X43" s="16"/>
      <c r="Y43" s="16"/>
      <c r="AH43" s="6"/>
      <c r="AI43" s="6"/>
    </row>
    <row r="44" spans="2:35" x14ac:dyDescent="0.25">
      <c r="B44" s="119"/>
      <c r="C44" s="15" t="s">
        <v>41</v>
      </c>
      <c r="D44" s="16">
        <v>124656495.67</v>
      </c>
      <c r="E44" s="17">
        <v>44740</v>
      </c>
      <c r="F44" s="17">
        <v>49130</v>
      </c>
      <c r="G44" s="19" t="s">
        <v>21</v>
      </c>
      <c r="H44" s="20">
        <v>1.4999999999999999E-2</v>
      </c>
      <c r="I44" s="16">
        <v>114268454.36</v>
      </c>
      <c r="J44" s="16">
        <v>10388041.310000001</v>
      </c>
      <c r="K44" s="16">
        <v>0</v>
      </c>
      <c r="L44" s="84">
        <f t="shared" si="1"/>
        <v>103880413.05</v>
      </c>
      <c r="M44" s="16">
        <v>6397643.1799999997</v>
      </c>
      <c r="N44" s="16">
        <v>4.1500000000000004</v>
      </c>
      <c r="O44" s="16">
        <f t="shared" si="0"/>
        <v>20776082.620000005</v>
      </c>
      <c r="P44" s="18" t="s">
        <v>84</v>
      </c>
      <c r="Q44" s="16">
        <v>10388041.310000001</v>
      </c>
      <c r="R44" s="16">
        <v>10388041.310000001</v>
      </c>
      <c r="S44" s="16">
        <v>10388041.310000001</v>
      </c>
      <c r="T44" s="16">
        <v>10388041.310000001</v>
      </c>
      <c r="U44" s="16">
        <v>10388041.310000001</v>
      </c>
      <c r="V44" s="16">
        <v>10388041.310000001</v>
      </c>
      <c r="W44" s="16">
        <v>10388041.310000001</v>
      </c>
      <c r="X44" s="16">
        <v>10388041.310000001</v>
      </c>
      <c r="Y44" s="16">
        <v>10388041.310000001</v>
      </c>
      <c r="Z44" s="16">
        <v>10388041.310000001</v>
      </c>
      <c r="AH44" s="6"/>
      <c r="AI44" s="6"/>
    </row>
    <row r="45" spans="2:35" x14ac:dyDescent="0.25">
      <c r="B45" s="119"/>
      <c r="C45" s="15" t="s">
        <v>45</v>
      </c>
      <c r="D45" s="16">
        <v>2200000</v>
      </c>
      <c r="E45" s="17">
        <v>43979</v>
      </c>
      <c r="F45" s="17">
        <v>45806</v>
      </c>
      <c r="G45" s="19" t="s">
        <v>21</v>
      </c>
      <c r="H45" s="20">
        <v>1.35E-2</v>
      </c>
      <c r="I45" s="16">
        <v>1040955.5999999999</v>
      </c>
      <c r="J45" s="16">
        <v>520477.79</v>
      </c>
      <c r="K45" s="16">
        <v>0</v>
      </c>
      <c r="L45" s="84">
        <f t="shared" si="1"/>
        <v>520477.80999999988</v>
      </c>
      <c r="M45" s="16">
        <v>54047.63</v>
      </c>
      <c r="N45" s="16"/>
      <c r="O45" s="16">
        <f t="shared" si="0"/>
        <v>1679522.1900000002</v>
      </c>
      <c r="P45" s="18" t="s">
        <v>44</v>
      </c>
      <c r="Q45" s="16">
        <v>520477.81</v>
      </c>
      <c r="R45" s="16"/>
      <c r="S45" s="16"/>
      <c r="T45" s="16"/>
      <c r="U45" s="16"/>
      <c r="V45" s="16"/>
      <c r="W45" s="16"/>
      <c r="X45" s="16"/>
      <c r="Y45" s="16"/>
      <c r="AH45" s="6"/>
      <c r="AI45" s="6"/>
    </row>
    <row r="46" spans="2:35" x14ac:dyDescent="0.25">
      <c r="B46" s="119"/>
      <c r="C46" s="15" t="s">
        <v>22</v>
      </c>
      <c r="D46" s="16">
        <v>6941000</v>
      </c>
      <c r="E46" s="17">
        <v>42032</v>
      </c>
      <c r="F46" s="17">
        <v>46323</v>
      </c>
      <c r="G46" s="93">
        <v>2.75E-2</v>
      </c>
      <c r="H46" s="93"/>
      <c r="I46" s="16">
        <v>4843138</v>
      </c>
      <c r="J46" s="16">
        <v>0</v>
      </c>
      <c r="K46" s="16">
        <v>0</v>
      </c>
      <c r="L46" s="84">
        <v>0</v>
      </c>
      <c r="M46" s="16">
        <v>0</v>
      </c>
      <c r="N46" s="16">
        <v>0</v>
      </c>
      <c r="O46" s="16">
        <f t="shared" si="0"/>
        <v>6941000</v>
      </c>
      <c r="P46" s="18" t="s">
        <v>149</v>
      </c>
      <c r="Q46" s="16"/>
      <c r="R46" s="16"/>
      <c r="S46" s="16"/>
      <c r="T46" s="16"/>
      <c r="U46" s="16"/>
      <c r="V46" s="16"/>
      <c r="W46" s="16"/>
      <c r="X46" s="16"/>
      <c r="AH46" s="6"/>
      <c r="AI46" s="6"/>
    </row>
    <row r="47" spans="2:35" x14ac:dyDescent="0.25">
      <c r="B47" s="119"/>
      <c r="C47" s="15" t="s">
        <v>42</v>
      </c>
      <c r="D47" s="16">
        <v>4581434</v>
      </c>
      <c r="E47" s="17">
        <v>42916</v>
      </c>
      <c r="F47" s="17">
        <v>46842</v>
      </c>
      <c r="G47" s="19" t="s">
        <v>21</v>
      </c>
      <c r="H47" s="20">
        <v>0.02</v>
      </c>
      <c r="I47" s="16">
        <v>3034684.2800000003</v>
      </c>
      <c r="J47" s="16">
        <v>543374.82999999996</v>
      </c>
      <c r="K47" s="16">
        <v>0</v>
      </c>
      <c r="L47" s="84">
        <f>+I47-J47</f>
        <v>2491309.4500000002</v>
      </c>
      <c r="M47" s="16">
        <v>167939.43</v>
      </c>
      <c r="N47" s="16">
        <v>10</v>
      </c>
      <c r="O47" s="16">
        <f t="shared" si="0"/>
        <v>2090124.5499999998</v>
      </c>
      <c r="P47" s="18" t="s">
        <v>44</v>
      </c>
      <c r="Q47" s="16">
        <v>573445.19999999995</v>
      </c>
      <c r="R47" s="16">
        <v>605179.65</v>
      </c>
      <c r="S47" s="16">
        <v>638670.29</v>
      </c>
      <c r="T47" s="16">
        <v>674014.31</v>
      </c>
      <c r="U47" s="16"/>
      <c r="V47" s="16"/>
      <c r="W47" s="16"/>
      <c r="X47" s="16"/>
      <c r="Y47" s="16"/>
      <c r="AH47" s="6"/>
      <c r="AI47" s="6"/>
    </row>
    <row r="48" spans="2:35" x14ac:dyDescent="0.25">
      <c r="B48" s="119"/>
      <c r="C48" s="15" t="s">
        <v>39</v>
      </c>
      <c r="D48" s="16">
        <v>1750000</v>
      </c>
      <c r="E48" s="17">
        <v>43069</v>
      </c>
      <c r="F48" s="17">
        <v>46356</v>
      </c>
      <c r="G48" s="19" t="s">
        <v>20</v>
      </c>
      <c r="H48" s="20">
        <v>1.7999999999999999E-2</v>
      </c>
      <c r="I48" s="16">
        <v>1604166.67</v>
      </c>
      <c r="J48" s="16">
        <v>0</v>
      </c>
      <c r="K48" s="16">
        <v>0</v>
      </c>
      <c r="L48" s="84">
        <f t="shared" si="1"/>
        <v>1604166.67</v>
      </c>
      <c r="M48" s="16">
        <v>93095.670000000013</v>
      </c>
      <c r="N48" s="16">
        <v>0</v>
      </c>
      <c r="O48" s="16">
        <f t="shared" si="0"/>
        <v>145833.33000000007</v>
      </c>
      <c r="P48" s="18" t="s">
        <v>44</v>
      </c>
      <c r="Q48" s="16"/>
      <c r="R48" s="16">
        <v>1604166.67</v>
      </c>
      <c r="S48" s="16"/>
      <c r="T48" s="16"/>
      <c r="U48" s="16"/>
      <c r="V48" s="16"/>
      <c r="W48" s="16"/>
      <c r="X48" s="16"/>
      <c r="Y48" s="16"/>
      <c r="AH48" s="6"/>
      <c r="AI48" s="6"/>
    </row>
    <row r="49" spans="2:35" x14ac:dyDescent="0.25">
      <c r="B49" s="119"/>
      <c r="C49" s="15" t="s">
        <v>28</v>
      </c>
      <c r="D49" s="16">
        <v>1869117</v>
      </c>
      <c r="E49" s="17">
        <v>43087</v>
      </c>
      <c r="F49" s="17">
        <v>45826</v>
      </c>
      <c r="G49" s="19" t="s">
        <v>21</v>
      </c>
      <c r="H49" s="20">
        <v>1.2500000000000001E-2</v>
      </c>
      <c r="I49" s="16">
        <v>1433056.29</v>
      </c>
      <c r="J49" s="16">
        <v>0</v>
      </c>
      <c r="K49" s="16">
        <v>0</v>
      </c>
      <c r="L49" s="84">
        <f t="shared" si="1"/>
        <v>1433056.29</v>
      </c>
      <c r="M49" s="16">
        <v>69329.83</v>
      </c>
      <c r="N49" s="16">
        <v>0</v>
      </c>
      <c r="O49" s="16">
        <f t="shared" si="0"/>
        <v>436060.70999999996</v>
      </c>
      <c r="P49" s="18" t="s">
        <v>44</v>
      </c>
      <c r="Q49" s="16">
        <v>1433056.29</v>
      </c>
      <c r="R49" s="16"/>
      <c r="S49" s="16"/>
      <c r="T49" s="16"/>
      <c r="U49" s="16"/>
      <c r="V49" s="16"/>
      <c r="W49" s="16"/>
      <c r="X49" s="16"/>
      <c r="Y49" s="16"/>
      <c r="AH49" s="6"/>
      <c r="AI49" s="6"/>
    </row>
    <row r="50" spans="2:35" x14ac:dyDescent="0.25">
      <c r="B50" s="119"/>
      <c r="C50" s="15" t="s">
        <v>25</v>
      </c>
      <c r="D50" s="16">
        <v>8000000</v>
      </c>
      <c r="E50" s="17">
        <v>44595</v>
      </c>
      <c r="F50" s="17">
        <v>48280</v>
      </c>
      <c r="G50" s="19" t="s">
        <v>21</v>
      </c>
      <c r="H50" s="20">
        <v>1.7500000000000002E-2</v>
      </c>
      <c r="I50" s="16">
        <v>7260997.25</v>
      </c>
      <c r="J50" s="16">
        <v>650838.1</v>
      </c>
      <c r="K50" s="16">
        <v>0</v>
      </c>
      <c r="L50" s="84">
        <f>+I50-J50</f>
        <v>6610159.1500000004</v>
      </c>
      <c r="M50" s="16">
        <v>383671.09</v>
      </c>
      <c r="N50" s="16">
        <v>20</v>
      </c>
      <c r="O50" s="16">
        <f t="shared" si="0"/>
        <v>1389840.8499999996</v>
      </c>
      <c r="P50" s="18" t="s">
        <v>85</v>
      </c>
      <c r="Q50" s="16">
        <v>681874.66</v>
      </c>
      <c r="R50" s="16">
        <v>746827.38</v>
      </c>
      <c r="S50" s="16">
        <v>777307.1</v>
      </c>
      <c r="T50" s="16">
        <v>809930.69</v>
      </c>
      <c r="U50" s="16">
        <v>843923.47</v>
      </c>
      <c r="V50" s="16">
        <v>879342.95</v>
      </c>
      <c r="W50" s="16">
        <v>916248.96</v>
      </c>
      <c r="X50" s="16">
        <v>954703.94</v>
      </c>
      <c r="Y50" s="16"/>
      <c r="AH50" s="6"/>
      <c r="AI50" s="6"/>
    </row>
    <row r="51" spans="2:35" x14ac:dyDescent="0.25">
      <c r="B51" s="119"/>
      <c r="C51" s="15" t="s">
        <v>42</v>
      </c>
      <c r="D51" s="16">
        <v>900000</v>
      </c>
      <c r="E51" s="17">
        <v>44133</v>
      </c>
      <c r="F51" s="17">
        <v>47785</v>
      </c>
      <c r="G51" s="19" t="s">
        <v>21</v>
      </c>
      <c r="H51" s="20">
        <v>0.01</v>
      </c>
      <c r="I51" s="16">
        <v>728148.65</v>
      </c>
      <c r="J51" s="16">
        <v>89412.04</v>
      </c>
      <c r="K51" s="16">
        <v>0</v>
      </c>
      <c r="L51" s="84">
        <f t="shared" si="1"/>
        <v>638736.61</v>
      </c>
      <c r="M51" s="16">
        <v>36458.400000000001</v>
      </c>
      <c r="N51" s="16">
        <v>10</v>
      </c>
      <c r="O51" s="16">
        <f t="shared" si="0"/>
        <v>261263.39</v>
      </c>
      <c r="P51" s="18" t="s">
        <v>88</v>
      </c>
      <c r="Q51" s="16">
        <v>94735.98</v>
      </c>
      <c r="R51" s="16">
        <v>99141.2</v>
      </c>
      <c r="S51" s="16">
        <v>103751.27</v>
      </c>
      <c r="T51" s="16">
        <v>108575.7</v>
      </c>
      <c r="U51" s="16">
        <v>113624.47</v>
      </c>
      <c r="V51" s="16">
        <v>118907.99</v>
      </c>
      <c r="W51" s="16"/>
      <c r="X51" s="16"/>
      <c r="Y51" s="16"/>
      <c r="AH51" s="6"/>
      <c r="AI51" s="6"/>
    </row>
    <row r="52" spans="2:35" x14ac:dyDescent="0.25">
      <c r="B52" s="119"/>
      <c r="C52" s="15" t="s">
        <v>42</v>
      </c>
      <c r="D52" s="16">
        <v>800000</v>
      </c>
      <c r="E52" s="17">
        <v>42180</v>
      </c>
      <c r="F52" s="17">
        <v>45833</v>
      </c>
      <c r="G52" s="19" t="s">
        <v>21</v>
      </c>
      <c r="H52" s="20">
        <v>0.02</v>
      </c>
      <c r="I52" s="16">
        <v>108626.15000000001</v>
      </c>
      <c r="J52" s="16">
        <v>52766.49</v>
      </c>
      <c r="K52" s="16">
        <v>0</v>
      </c>
      <c r="L52" s="84">
        <f t="shared" si="1"/>
        <v>55859.660000000011</v>
      </c>
      <c r="M52" s="16">
        <v>6367.66</v>
      </c>
      <c r="N52" s="16">
        <v>10</v>
      </c>
      <c r="O52" s="16">
        <f t="shared" si="0"/>
        <v>744140.34</v>
      </c>
      <c r="P52" s="18" t="s">
        <v>88</v>
      </c>
      <c r="Q52" s="16">
        <v>55859.660000000011</v>
      </c>
      <c r="R52" s="16"/>
      <c r="S52" s="16"/>
      <c r="T52" s="16"/>
      <c r="U52" s="16"/>
      <c r="V52" s="16"/>
      <c r="W52" s="16"/>
      <c r="X52" s="16"/>
      <c r="Y52" s="16"/>
      <c r="AH52" s="6"/>
      <c r="AI52" s="6"/>
    </row>
    <row r="53" spans="2:35" x14ac:dyDescent="0.25">
      <c r="B53" s="119"/>
      <c r="C53" s="15" t="s">
        <v>28</v>
      </c>
      <c r="D53" s="16">
        <v>4030146.36</v>
      </c>
      <c r="E53" s="17">
        <v>44615</v>
      </c>
      <c r="F53" s="17">
        <v>47572</v>
      </c>
      <c r="G53" s="19" t="s">
        <v>21</v>
      </c>
      <c r="H53" s="20">
        <v>1.2500000000000001E-2</v>
      </c>
      <c r="I53" s="16">
        <v>3134558.28</v>
      </c>
      <c r="J53" s="16">
        <v>447794.04</v>
      </c>
      <c r="K53" s="16">
        <v>0</v>
      </c>
      <c r="L53" s="84">
        <f t="shared" si="1"/>
        <v>2686764.2399999998</v>
      </c>
      <c r="M53" s="16">
        <v>156199.22</v>
      </c>
      <c r="N53" s="16">
        <v>0</v>
      </c>
      <c r="O53" s="16">
        <f t="shared" si="0"/>
        <v>1343382.12</v>
      </c>
      <c r="P53" s="18" t="s">
        <v>113</v>
      </c>
      <c r="Q53" s="16">
        <v>447794.04</v>
      </c>
      <c r="R53" s="16">
        <v>447794.04</v>
      </c>
      <c r="S53" s="16">
        <v>447794.04</v>
      </c>
      <c r="T53" s="16">
        <v>447794.04</v>
      </c>
      <c r="U53" s="16">
        <v>447794.04</v>
      </c>
      <c r="V53" s="16">
        <v>447794.04</v>
      </c>
      <c r="W53" s="16"/>
      <c r="X53" s="16"/>
      <c r="Y53" s="16"/>
      <c r="AH53" s="6"/>
      <c r="AI53" s="6"/>
    </row>
    <row r="54" spans="2:35" x14ac:dyDescent="0.25">
      <c r="B54" s="119"/>
      <c r="C54" s="15" t="s">
        <v>64</v>
      </c>
      <c r="D54" s="16">
        <v>155000000</v>
      </c>
      <c r="E54" s="17">
        <v>44706</v>
      </c>
      <c r="F54" s="17">
        <v>47793</v>
      </c>
      <c r="G54" s="93">
        <v>0.03</v>
      </c>
      <c r="H54" s="93"/>
      <c r="I54" s="16">
        <v>155000000</v>
      </c>
      <c r="J54" s="16">
        <v>0</v>
      </c>
      <c r="K54" s="16">
        <v>0</v>
      </c>
      <c r="L54" s="84">
        <v>155000000</v>
      </c>
      <c r="M54" s="16">
        <v>4650000</v>
      </c>
      <c r="N54" s="16">
        <v>3713.15</v>
      </c>
      <c r="O54" s="16">
        <f t="shared" si="0"/>
        <v>0</v>
      </c>
      <c r="P54" s="18" t="s">
        <v>86</v>
      </c>
      <c r="Q54" s="16"/>
      <c r="R54" s="16"/>
      <c r="S54" s="16"/>
      <c r="T54" s="16"/>
      <c r="U54" s="16"/>
      <c r="V54" s="16">
        <v>155000000</v>
      </c>
      <c r="W54" s="16"/>
      <c r="X54" s="16"/>
      <c r="Y54" s="16"/>
      <c r="AH54" s="6"/>
      <c r="AI54" s="6"/>
    </row>
    <row r="55" spans="2:35" x14ac:dyDescent="0.25">
      <c r="B55" s="119"/>
      <c r="C55" s="15" t="s">
        <v>23</v>
      </c>
      <c r="D55" s="16">
        <v>37500000</v>
      </c>
      <c r="E55" s="17">
        <v>44127</v>
      </c>
      <c r="F55" s="17">
        <v>46984</v>
      </c>
      <c r="G55" s="93">
        <v>2.76E-2</v>
      </c>
      <c r="H55" s="93"/>
      <c r="I55" s="16">
        <v>15833779.09</v>
      </c>
      <c r="J55" s="16">
        <v>2996708.61</v>
      </c>
      <c r="K55" s="16">
        <v>0</v>
      </c>
      <c r="L55" s="84">
        <f>+I55-J55</f>
        <v>12837070.48</v>
      </c>
      <c r="M55" s="16">
        <v>437012.3</v>
      </c>
      <c r="N55" s="16">
        <v>7500</v>
      </c>
      <c r="O55" s="16">
        <f t="shared" si="0"/>
        <v>24662929.52</v>
      </c>
      <c r="P55" s="18" t="s">
        <v>86</v>
      </c>
      <c r="Q55" s="16">
        <v>3079417.76</v>
      </c>
      <c r="R55" s="16">
        <v>3164409.69</v>
      </c>
      <c r="S55" s="16">
        <v>3251747.4</v>
      </c>
      <c r="T55" s="16">
        <v>3341495.63</v>
      </c>
      <c r="U55" s="16"/>
      <c r="V55" s="16"/>
      <c r="W55" s="16"/>
      <c r="X55" s="16"/>
      <c r="Y55" s="16"/>
      <c r="AH55" s="6"/>
      <c r="AI55" s="6"/>
    </row>
    <row r="56" spans="2:35" x14ac:dyDescent="0.25">
      <c r="B56" s="119"/>
      <c r="C56" s="15" t="s">
        <v>40</v>
      </c>
      <c r="D56" s="16">
        <v>5500000</v>
      </c>
      <c r="E56" s="17">
        <v>42907</v>
      </c>
      <c r="F56" s="17">
        <v>47290</v>
      </c>
      <c r="G56" s="19" t="s">
        <v>21</v>
      </c>
      <c r="H56" s="20">
        <v>2.375E-2</v>
      </c>
      <c r="I56" s="16">
        <v>2698757.89</v>
      </c>
      <c r="J56" s="16">
        <v>449792.98</v>
      </c>
      <c r="K56" s="16">
        <v>0</v>
      </c>
      <c r="L56" s="84">
        <f t="shared" ref="L56:L60" si="3">+I56-J56</f>
        <v>2248964.91</v>
      </c>
      <c r="M56" s="16">
        <v>175516.87</v>
      </c>
      <c r="N56" s="16">
        <v>36</v>
      </c>
      <c r="O56" s="16">
        <f t="shared" si="0"/>
        <v>3251035.09</v>
      </c>
      <c r="P56" s="18" t="s">
        <v>87</v>
      </c>
      <c r="Q56" s="16">
        <v>449792.98</v>
      </c>
      <c r="R56" s="16">
        <v>449792.98</v>
      </c>
      <c r="S56" s="16">
        <v>449792.98</v>
      </c>
      <c r="T56" s="16">
        <v>449792.98</v>
      </c>
      <c r="U56" s="16">
        <v>449792.98</v>
      </c>
      <c r="V56" s="16"/>
      <c r="W56" s="16"/>
      <c r="X56" s="16"/>
      <c r="Y56" s="16"/>
      <c r="AH56" s="6"/>
      <c r="AI56" s="6"/>
    </row>
    <row r="57" spans="2:35" x14ac:dyDescent="0.25">
      <c r="B57" s="119"/>
      <c r="C57" s="15" t="s">
        <v>34</v>
      </c>
      <c r="D57" s="16">
        <v>5500000</v>
      </c>
      <c r="E57" s="17">
        <v>43559</v>
      </c>
      <c r="F57" s="17">
        <v>47942</v>
      </c>
      <c r="G57" s="19" t="s">
        <v>20</v>
      </c>
      <c r="H57" s="20">
        <v>1.95E-2</v>
      </c>
      <c r="I57" s="16">
        <v>3890056.11</v>
      </c>
      <c r="J57" s="16">
        <v>518674.14</v>
      </c>
      <c r="K57" s="16">
        <v>0</v>
      </c>
      <c r="L57" s="84">
        <f t="shared" si="3"/>
        <v>3371381.9699999997</v>
      </c>
      <c r="M57" s="16">
        <v>227284.91999999998</v>
      </c>
      <c r="N57" s="16">
        <v>9079.2900000000009</v>
      </c>
      <c r="O57" s="16">
        <f t="shared" si="0"/>
        <v>2128618.0300000003</v>
      </c>
      <c r="P57" s="18" t="s">
        <v>87</v>
      </c>
      <c r="Q57" s="16">
        <v>518674.14</v>
      </c>
      <c r="R57" s="16">
        <v>518674.14</v>
      </c>
      <c r="S57" s="16">
        <v>518674.14</v>
      </c>
      <c r="T57" s="16">
        <v>518674.14</v>
      </c>
      <c r="U57" s="16">
        <v>518674.14</v>
      </c>
      <c r="V57" s="16">
        <v>518674.14</v>
      </c>
      <c r="W57" s="16">
        <v>259337.13</v>
      </c>
      <c r="X57" s="16"/>
      <c r="Y57" s="16"/>
      <c r="AH57" s="6"/>
      <c r="AI57" s="6"/>
    </row>
    <row r="58" spans="2:35" x14ac:dyDescent="0.25">
      <c r="B58" s="119"/>
      <c r="C58" s="15" t="s">
        <v>22</v>
      </c>
      <c r="D58" s="16">
        <v>4400000</v>
      </c>
      <c r="E58" s="17">
        <v>43201</v>
      </c>
      <c r="F58" s="17">
        <v>46002</v>
      </c>
      <c r="G58" s="19" t="s">
        <v>21</v>
      </c>
      <c r="H58" s="20">
        <v>0.02</v>
      </c>
      <c r="I58" s="16">
        <v>2750000.09</v>
      </c>
      <c r="J58" s="16">
        <v>0</v>
      </c>
      <c r="K58" s="16">
        <v>0</v>
      </c>
      <c r="L58" s="84">
        <v>0</v>
      </c>
      <c r="M58" s="16">
        <v>0</v>
      </c>
      <c r="N58" s="16">
        <v>0</v>
      </c>
      <c r="O58" s="16">
        <f t="shared" si="0"/>
        <v>4400000</v>
      </c>
      <c r="P58" s="18" t="s">
        <v>149</v>
      </c>
      <c r="Q58" s="16"/>
      <c r="R58" s="16"/>
      <c r="S58" s="16"/>
      <c r="T58" s="16"/>
      <c r="U58" s="16"/>
      <c r="V58" s="16"/>
      <c r="W58" s="16"/>
      <c r="X58" s="16"/>
      <c r="Y58" s="16"/>
      <c r="AH58" s="6"/>
      <c r="AI58" s="6"/>
    </row>
    <row r="59" spans="2:35" x14ac:dyDescent="0.25">
      <c r="B59" s="119"/>
      <c r="C59" s="15" t="s">
        <v>42</v>
      </c>
      <c r="D59" s="16">
        <v>1759629.92</v>
      </c>
      <c r="E59" s="17">
        <v>44950</v>
      </c>
      <c r="F59" s="17">
        <v>47136</v>
      </c>
      <c r="G59" s="19" t="s">
        <v>21</v>
      </c>
      <c r="H59" s="20">
        <v>0.02</v>
      </c>
      <c r="I59" s="16">
        <v>1759629.92</v>
      </c>
      <c r="J59" s="16">
        <v>258579.19</v>
      </c>
      <c r="K59" s="16">
        <v>0</v>
      </c>
      <c r="L59" s="84">
        <f t="shared" si="3"/>
        <v>1501050.73</v>
      </c>
      <c r="M59" s="16">
        <v>88298.23</v>
      </c>
      <c r="N59" s="16">
        <v>10</v>
      </c>
      <c r="O59" s="16">
        <f t="shared" si="0"/>
        <v>258579.18999999994</v>
      </c>
      <c r="P59" s="18" t="s">
        <v>131</v>
      </c>
      <c r="Q59" s="16">
        <v>267993.21999999997</v>
      </c>
      <c r="R59" s="16">
        <v>283212.55</v>
      </c>
      <c r="S59" s="16">
        <v>299296.19</v>
      </c>
      <c r="T59" s="16">
        <v>316293.23</v>
      </c>
      <c r="U59" s="16">
        <v>334255.53999999998</v>
      </c>
      <c r="V59" s="16"/>
      <c r="W59" s="16"/>
      <c r="X59" s="16"/>
      <c r="Y59" s="16"/>
      <c r="AH59" s="6"/>
      <c r="AI59" s="6"/>
    </row>
    <row r="60" spans="2:35" x14ac:dyDescent="0.25">
      <c r="B60" s="119"/>
      <c r="C60" s="15" t="s">
        <v>28</v>
      </c>
      <c r="D60" s="16">
        <v>4600000</v>
      </c>
      <c r="E60" s="17">
        <v>44686</v>
      </c>
      <c r="F60" s="17">
        <v>50165</v>
      </c>
      <c r="G60" s="93">
        <v>2.5700000000000001E-2</v>
      </c>
      <c r="H60" s="93"/>
      <c r="I60" s="16">
        <v>1134161.3699999999</v>
      </c>
      <c r="J60" s="16">
        <v>84533.759999999966</v>
      </c>
      <c r="K60" s="16">
        <v>0</v>
      </c>
      <c r="L60" s="84">
        <f t="shared" si="3"/>
        <v>1049627.6099999999</v>
      </c>
      <c r="M60" s="16">
        <v>28621.890000000003</v>
      </c>
      <c r="N60" s="16">
        <v>121.97999999999999</v>
      </c>
      <c r="O60" s="16">
        <f t="shared" si="0"/>
        <v>3550372.39</v>
      </c>
      <c r="P60" s="18" t="s">
        <v>116</v>
      </c>
      <c r="Q60" s="16">
        <v>84533.759999999995</v>
      </c>
      <c r="R60" s="16">
        <v>84533.759999999995</v>
      </c>
      <c r="S60" s="16">
        <v>84533.759999999995</v>
      </c>
      <c r="T60" s="16">
        <v>84533.759999999995</v>
      </c>
      <c r="U60" s="16">
        <v>84533.759999999995</v>
      </c>
      <c r="V60" s="16">
        <v>84533.759999999995</v>
      </c>
      <c r="W60" s="16">
        <v>84533.759999999995</v>
      </c>
      <c r="X60" s="16">
        <v>84533.759999999995</v>
      </c>
      <c r="Y60" s="16">
        <v>84533.759999999995</v>
      </c>
      <c r="Z60" s="16">
        <v>84533.759999999995</v>
      </c>
      <c r="AA60" s="16">
        <v>84533.759999999995</v>
      </c>
      <c r="AB60" s="16">
        <v>84533.759999999995</v>
      </c>
      <c r="AC60" s="16">
        <v>35222.399999999994</v>
      </c>
      <c r="AD60" s="16"/>
      <c r="AE60" s="16"/>
      <c r="AH60" s="6"/>
      <c r="AI60" s="6"/>
    </row>
    <row r="61" spans="2:35" x14ac:dyDescent="0.25">
      <c r="B61" s="120"/>
      <c r="C61" s="15" t="s">
        <v>118</v>
      </c>
      <c r="D61" s="16"/>
      <c r="E61" s="17"/>
      <c r="F61" s="17"/>
      <c r="G61" s="93"/>
      <c r="H61" s="93"/>
      <c r="I61" s="16"/>
      <c r="J61" s="16"/>
      <c r="K61" s="16"/>
      <c r="L61" s="84"/>
      <c r="M61" s="16">
        <v>1500.39</v>
      </c>
      <c r="N61" s="16">
        <v>101620.63999999998</v>
      </c>
      <c r="O61" s="16"/>
      <c r="P61" s="18" t="s">
        <v>146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H61" s="6"/>
      <c r="AI61" s="6"/>
    </row>
    <row r="62" spans="2:35" x14ac:dyDescent="0.25">
      <c r="B62" s="23"/>
      <c r="C62" s="24" t="s">
        <v>46</v>
      </c>
      <c r="D62" s="25">
        <f>SUM(D6:D61)</f>
        <v>3490865156.5800004</v>
      </c>
      <c r="E62" s="25"/>
      <c r="F62" s="25"/>
      <c r="G62" s="25"/>
      <c r="H62" s="25"/>
      <c r="I62" s="52">
        <f t="shared" ref="I62:O62" si="4">SUM(I6:I61)</f>
        <v>2859557000.7600012</v>
      </c>
      <c r="J62" s="25">
        <f t="shared" si="4"/>
        <v>96175313.780000016</v>
      </c>
      <c r="K62" s="25">
        <f t="shared" si="4"/>
        <v>0</v>
      </c>
      <c r="L62" s="52">
        <f t="shared" si="4"/>
        <v>2948381686.98</v>
      </c>
      <c r="M62" s="25">
        <f t="shared" si="4"/>
        <v>63790425.777499996</v>
      </c>
      <c r="N62" s="25">
        <f t="shared" si="4"/>
        <v>537427.32999999996</v>
      </c>
      <c r="O62" s="25">
        <f t="shared" si="4"/>
        <v>542483469.60000002</v>
      </c>
      <c r="P62" s="25"/>
      <c r="Q62" s="25">
        <f t="shared" ref="Q62:AC62" si="5">SUM(Q6:Q61)</f>
        <v>91919866.730000019</v>
      </c>
      <c r="R62" s="25">
        <f t="shared" si="5"/>
        <v>335522438.04000002</v>
      </c>
      <c r="S62" s="25">
        <f t="shared" si="5"/>
        <v>389458656.84000003</v>
      </c>
      <c r="T62" s="25">
        <f t="shared" si="5"/>
        <v>406608582.78000003</v>
      </c>
      <c r="U62" s="25">
        <f t="shared" si="5"/>
        <v>289781396.87000006</v>
      </c>
      <c r="V62" s="25">
        <f t="shared" si="5"/>
        <v>383151579.93999994</v>
      </c>
      <c r="W62" s="25">
        <f t="shared" si="5"/>
        <v>112362446.91</v>
      </c>
      <c r="X62" s="25">
        <f t="shared" si="5"/>
        <v>466427279.00999999</v>
      </c>
      <c r="Y62" s="25">
        <f t="shared" si="5"/>
        <v>27472575.070000004</v>
      </c>
      <c r="Z62" s="25">
        <f t="shared" si="5"/>
        <v>10472575.07</v>
      </c>
      <c r="AA62" s="25">
        <f t="shared" si="5"/>
        <v>84533.759999999995</v>
      </c>
      <c r="AB62" s="25">
        <f t="shared" si="5"/>
        <v>435084533.75999999</v>
      </c>
      <c r="AC62" s="25">
        <f t="shared" si="5"/>
        <v>35222.399999999994</v>
      </c>
      <c r="AD62" s="25"/>
      <c r="AE62" s="25"/>
      <c r="AF62" s="25"/>
      <c r="AG62" s="25"/>
      <c r="AH62" s="6"/>
      <c r="AI62" s="6"/>
    </row>
    <row r="63" spans="2:35" x14ac:dyDescent="0.25">
      <c r="B63" s="94" t="s">
        <v>47</v>
      </c>
      <c r="C63" s="27" t="s">
        <v>41</v>
      </c>
      <c r="D63" s="28">
        <v>5035487</v>
      </c>
      <c r="E63" s="29">
        <v>43972</v>
      </c>
      <c r="F63" s="17">
        <v>49449</v>
      </c>
      <c r="G63" s="93">
        <v>8.3999999999999995E-3</v>
      </c>
      <c r="H63" s="93"/>
      <c r="I63" s="84">
        <v>3738167.8</v>
      </c>
      <c r="J63" s="28">
        <v>325780.47999999998</v>
      </c>
      <c r="K63" s="28">
        <v>0</v>
      </c>
      <c r="L63" s="84">
        <f t="shared" ref="L63:L64" si="6">+I63-J63</f>
        <v>3412387.32</v>
      </c>
      <c r="M63" s="28">
        <v>30717.9</v>
      </c>
      <c r="N63" s="28">
        <v>19.68</v>
      </c>
      <c r="O63" s="16">
        <f>+D63-L63</f>
        <v>1623099.6800000002</v>
      </c>
      <c r="P63" s="30"/>
      <c r="Q63" s="28">
        <v>328522.78000000003</v>
      </c>
      <c r="R63" s="28">
        <v>331288.17</v>
      </c>
      <c r="S63" s="28">
        <v>334076.82999999996</v>
      </c>
      <c r="T63" s="28">
        <v>336888.97</v>
      </c>
      <c r="U63" s="28">
        <v>339724.78</v>
      </c>
      <c r="V63" s="28">
        <v>342584.45999999996</v>
      </c>
      <c r="W63" s="28">
        <v>345468.20999999996</v>
      </c>
      <c r="X63" s="28">
        <v>348376.24</v>
      </c>
      <c r="Y63" s="28">
        <v>351308.74</v>
      </c>
      <c r="Z63" s="28">
        <v>354147.14</v>
      </c>
      <c r="AA63" s="31">
        <v>1</v>
      </c>
      <c r="AB63" s="31"/>
      <c r="AC63" s="31"/>
      <c r="AD63" s="31"/>
      <c r="AE63" s="31"/>
      <c r="AF63" s="31"/>
      <c r="AG63" s="31"/>
      <c r="AH63" s="6"/>
      <c r="AI63" s="6"/>
    </row>
    <row r="64" spans="2:35" x14ac:dyDescent="0.25">
      <c r="B64" s="95"/>
      <c r="C64" s="15" t="s">
        <v>23</v>
      </c>
      <c r="D64" s="16">
        <v>1411669.62</v>
      </c>
      <c r="E64" s="17">
        <v>44757</v>
      </c>
      <c r="F64" s="17">
        <v>50236</v>
      </c>
      <c r="G64" s="93">
        <v>2.7699999999999999E-2</v>
      </c>
      <c r="H64" s="93"/>
      <c r="I64" s="84">
        <v>1278700.03</v>
      </c>
      <c r="J64" s="16">
        <v>78438.5</v>
      </c>
      <c r="K64" s="16">
        <v>0</v>
      </c>
      <c r="L64" s="84">
        <f t="shared" si="6"/>
        <v>1200261.53</v>
      </c>
      <c r="M64" s="16">
        <v>34880.54</v>
      </c>
      <c r="N64" s="16">
        <v>2784</v>
      </c>
      <c r="O64" s="16">
        <f>+D64-L64</f>
        <v>211408.09000000008</v>
      </c>
      <c r="P64" s="18"/>
      <c r="Q64" s="16">
        <v>80626.3</v>
      </c>
      <c r="R64" s="16">
        <v>82875.11</v>
      </c>
      <c r="S64" s="16">
        <v>85186.64</v>
      </c>
      <c r="T64" s="16">
        <v>87562.66</v>
      </c>
      <c r="U64" s="16">
        <v>90004.94</v>
      </c>
      <c r="V64" s="16">
        <v>92515.34</v>
      </c>
      <c r="W64" s="16">
        <v>95095.76999999999</v>
      </c>
      <c r="X64" s="16">
        <v>97748.15</v>
      </c>
      <c r="Y64" s="16">
        <v>100474.53</v>
      </c>
      <c r="Z64" s="16">
        <v>103276.95</v>
      </c>
      <c r="AA64" s="6">
        <v>106157.53</v>
      </c>
      <c r="AB64" s="6">
        <v>109118.45</v>
      </c>
      <c r="AC64" s="6">
        <v>69619.16</v>
      </c>
      <c r="AD64" s="6"/>
      <c r="AE64" s="6"/>
      <c r="AF64" s="6"/>
      <c r="AG64" s="6"/>
      <c r="AH64" s="6"/>
      <c r="AI64" s="6"/>
    </row>
    <row r="65" spans="2:35" x14ac:dyDescent="0.25">
      <c r="B65" s="23"/>
      <c r="C65" s="24" t="s">
        <v>46</v>
      </c>
      <c r="D65" s="25">
        <f>SUM(D63:D64)</f>
        <v>6447156.6200000001</v>
      </c>
      <c r="E65" s="23"/>
      <c r="F65" s="23"/>
      <c r="G65" s="24"/>
      <c r="H65" s="25"/>
      <c r="I65" s="52">
        <f t="shared" ref="I65:AC65" si="7">SUM(I63:I64)</f>
        <v>5016867.83</v>
      </c>
      <c r="J65" s="25">
        <f t="shared" si="7"/>
        <v>404218.98</v>
      </c>
      <c r="K65" s="25">
        <f t="shared" si="7"/>
        <v>0</v>
      </c>
      <c r="L65" s="52">
        <f t="shared" si="7"/>
        <v>4612648.8499999996</v>
      </c>
      <c r="M65" s="25">
        <f t="shared" si="7"/>
        <v>65598.44</v>
      </c>
      <c r="N65" s="25">
        <f t="shared" si="7"/>
        <v>2803.68</v>
      </c>
      <c r="O65" s="25">
        <f t="shared" si="7"/>
        <v>1834507.7700000003</v>
      </c>
      <c r="P65" s="25"/>
      <c r="Q65" s="25">
        <f>SUM(Q63:Q64)</f>
        <v>409149.08</v>
      </c>
      <c r="R65" s="25">
        <f t="shared" si="7"/>
        <v>414163.27999999997</v>
      </c>
      <c r="S65" s="25">
        <f t="shared" si="7"/>
        <v>419263.47</v>
      </c>
      <c r="T65" s="25">
        <f t="shared" si="7"/>
        <v>424451.63</v>
      </c>
      <c r="U65" s="25">
        <f t="shared" si="7"/>
        <v>429729.72000000003</v>
      </c>
      <c r="V65" s="25">
        <f t="shared" si="7"/>
        <v>435099.79999999993</v>
      </c>
      <c r="W65" s="25">
        <f t="shared" si="7"/>
        <v>440563.98</v>
      </c>
      <c r="X65" s="25">
        <f t="shared" si="7"/>
        <v>446124.39</v>
      </c>
      <c r="Y65" s="25">
        <f t="shared" si="7"/>
        <v>451783.27</v>
      </c>
      <c r="Z65" s="25">
        <f t="shared" si="7"/>
        <v>457424.09</v>
      </c>
      <c r="AA65" s="25">
        <f t="shared" si="7"/>
        <v>106158.53</v>
      </c>
      <c r="AB65" s="25">
        <f t="shared" si="7"/>
        <v>109118.45</v>
      </c>
      <c r="AC65" s="25">
        <f t="shared" si="7"/>
        <v>69619.16</v>
      </c>
      <c r="AD65" s="25"/>
      <c r="AE65" s="25"/>
      <c r="AF65" s="25"/>
      <c r="AG65" s="25"/>
      <c r="AH65" s="6"/>
      <c r="AI65" s="6"/>
    </row>
    <row r="66" spans="2:35" x14ac:dyDescent="0.25">
      <c r="B66" s="26" t="s">
        <v>48</v>
      </c>
      <c r="C66" s="15" t="s">
        <v>90</v>
      </c>
      <c r="D66" s="16">
        <v>500000</v>
      </c>
      <c r="E66" s="17">
        <v>44113</v>
      </c>
      <c r="F66" s="17">
        <v>46304</v>
      </c>
      <c r="G66" s="32" t="s">
        <v>89</v>
      </c>
      <c r="H66" s="32">
        <v>6.4999999999999997E-3</v>
      </c>
      <c r="I66" s="16">
        <v>377777.79</v>
      </c>
      <c r="J66" s="16">
        <v>133333.32</v>
      </c>
      <c r="K66" s="16">
        <v>0</v>
      </c>
      <c r="L66" s="16">
        <f>I66-J66</f>
        <v>244444.46999999997</v>
      </c>
      <c r="M66" s="16">
        <v>14277.78</v>
      </c>
      <c r="N66" s="16">
        <v>0</v>
      </c>
      <c r="O66" s="16">
        <f>+D66-L66</f>
        <v>255555.53000000003</v>
      </c>
      <c r="P66" s="18"/>
      <c r="Q66" s="16">
        <v>133333.32</v>
      </c>
      <c r="R66" s="16">
        <v>111111.15000000001</v>
      </c>
      <c r="S66" s="16"/>
      <c r="T66" s="16"/>
      <c r="U66" s="16"/>
      <c r="V66" s="16"/>
      <c r="W66" s="16"/>
      <c r="X66" s="16"/>
      <c r="Y66" s="16"/>
      <c r="Z66" s="16"/>
      <c r="AA66" s="6"/>
      <c r="AB66" s="6"/>
      <c r="AC66" s="6"/>
      <c r="AD66" s="6"/>
      <c r="AE66" s="6"/>
      <c r="AF66" s="6"/>
      <c r="AG66" s="6"/>
      <c r="AH66" s="6"/>
      <c r="AI66" s="7"/>
    </row>
    <row r="67" spans="2:35" x14ac:dyDescent="0.25">
      <c r="B67" s="23"/>
      <c r="C67" s="33" t="s">
        <v>46</v>
      </c>
      <c r="D67" s="25">
        <f>SUM(D66)</f>
        <v>500000</v>
      </c>
      <c r="E67" s="23"/>
      <c r="F67" s="23"/>
      <c r="G67" s="24"/>
      <c r="H67" s="25"/>
      <c r="I67" s="25">
        <f t="shared" ref="I67:O67" si="8">SUM(I66)</f>
        <v>377777.79</v>
      </c>
      <c r="J67" s="25">
        <f t="shared" si="8"/>
        <v>133333.32</v>
      </c>
      <c r="K67" s="25">
        <f t="shared" si="8"/>
        <v>0</v>
      </c>
      <c r="L67" s="25">
        <f t="shared" si="8"/>
        <v>244444.46999999997</v>
      </c>
      <c r="M67" s="25">
        <f t="shared" si="8"/>
        <v>14277.78</v>
      </c>
      <c r="N67" s="25">
        <f t="shared" si="8"/>
        <v>0</v>
      </c>
      <c r="O67" s="25">
        <f t="shared" si="8"/>
        <v>255555.53000000003</v>
      </c>
      <c r="P67" s="25"/>
      <c r="Q67" s="25">
        <f t="shared" ref="Q67:R67" si="9">SUM(Q66)</f>
        <v>133333.32</v>
      </c>
      <c r="R67" s="25">
        <f t="shared" si="9"/>
        <v>111111.15000000001</v>
      </c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6"/>
      <c r="AI67" s="7"/>
    </row>
    <row r="68" spans="2:35" ht="15" customHeight="1" x14ac:dyDescent="0.25">
      <c r="B68" s="94" t="s">
        <v>50</v>
      </c>
      <c r="C68" s="27" t="s">
        <v>22</v>
      </c>
      <c r="D68" s="16">
        <v>752672.34</v>
      </c>
      <c r="E68" s="17">
        <v>40142</v>
      </c>
      <c r="F68" s="17">
        <v>46716</v>
      </c>
      <c r="G68" s="19" t="s">
        <v>91</v>
      </c>
      <c r="H68" s="20">
        <v>3.5000000000000003E-2</v>
      </c>
      <c r="I68" s="16">
        <v>326158.03000000003</v>
      </c>
      <c r="J68" s="16">
        <v>93188.01</v>
      </c>
      <c r="K68" s="16">
        <v>0</v>
      </c>
      <c r="L68" s="16">
        <f t="shared" ref="L68:L90" si="10">I68-J68+K68</f>
        <v>232970.02000000002</v>
      </c>
      <c r="M68" s="16">
        <v>0</v>
      </c>
      <c r="N68" s="16"/>
      <c r="O68" s="16">
        <f t="shared" ref="O68:O84" si="11">+D68-L68</f>
        <v>519702.31999999995</v>
      </c>
      <c r="P68" s="18"/>
      <c r="Q68" s="16">
        <v>93188</v>
      </c>
      <c r="R68" s="16">
        <v>93188</v>
      </c>
      <c r="S68" s="16">
        <v>46594.03</v>
      </c>
      <c r="T68" s="16"/>
      <c r="U68" s="16"/>
      <c r="V68" s="16"/>
      <c r="W68" s="16"/>
      <c r="X68" s="16"/>
      <c r="Y68" s="16"/>
      <c r="AH68" s="6"/>
      <c r="AI68" s="7"/>
    </row>
    <row r="69" spans="2:35" x14ac:dyDescent="0.25">
      <c r="B69" s="95"/>
      <c r="C69" s="15" t="s">
        <v>22</v>
      </c>
      <c r="D69" s="16">
        <v>998657.94</v>
      </c>
      <c r="E69" s="17">
        <v>40142</v>
      </c>
      <c r="F69" s="17">
        <v>46716</v>
      </c>
      <c r="G69" s="19" t="s">
        <v>91</v>
      </c>
      <c r="H69" s="20">
        <v>3.5000000000000003E-2</v>
      </c>
      <c r="I69" s="16">
        <v>432751.79000000004</v>
      </c>
      <c r="J69" s="16">
        <v>123643.37</v>
      </c>
      <c r="K69" s="16">
        <v>0</v>
      </c>
      <c r="L69" s="16">
        <f t="shared" si="10"/>
        <v>309108.42000000004</v>
      </c>
      <c r="M69" s="16">
        <v>0</v>
      </c>
      <c r="N69" s="16">
        <v>0</v>
      </c>
      <c r="O69" s="16">
        <f t="shared" si="11"/>
        <v>689549.5199999999</v>
      </c>
      <c r="P69" s="18"/>
      <c r="Q69" s="16">
        <v>123643.36</v>
      </c>
      <c r="R69" s="16">
        <v>123643.36</v>
      </c>
      <c r="S69" s="16">
        <v>61821.71</v>
      </c>
      <c r="T69" s="16"/>
      <c r="U69" s="16"/>
      <c r="V69" s="16"/>
      <c r="W69" s="16"/>
      <c r="X69" s="16"/>
      <c r="Y69" s="16"/>
      <c r="AH69" s="6"/>
      <c r="AI69" s="7"/>
    </row>
    <row r="70" spans="2:35" x14ac:dyDescent="0.25">
      <c r="B70" s="95"/>
      <c r="C70" s="15" t="s">
        <v>22</v>
      </c>
      <c r="D70" s="16">
        <v>700000</v>
      </c>
      <c r="E70" s="17">
        <v>43453</v>
      </c>
      <c r="F70" s="17">
        <v>45554</v>
      </c>
      <c r="G70" s="19" t="s">
        <v>21</v>
      </c>
      <c r="H70" s="20">
        <v>1.7000000000000001E-2</v>
      </c>
      <c r="I70" s="16">
        <v>116054.76000000001</v>
      </c>
      <c r="J70" s="16">
        <v>116054.76</v>
      </c>
      <c r="K70" s="16">
        <v>0</v>
      </c>
      <c r="L70" s="16">
        <f t="shared" si="10"/>
        <v>1.4551915228366852E-11</v>
      </c>
      <c r="M70" s="16">
        <v>2310.29</v>
      </c>
      <c r="N70" s="16">
        <v>1159.2</v>
      </c>
      <c r="O70" s="16">
        <f t="shared" si="11"/>
        <v>700000</v>
      </c>
      <c r="P70" s="18" t="s">
        <v>51</v>
      </c>
      <c r="Q70" s="16"/>
      <c r="R70" s="16"/>
      <c r="S70" s="16"/>
      <c r="T70" s="16"/>
      <c r="U70" s="16"/>
      <c r="V70" s="16"/>
      <c r="W70" s="16"/>
      <c r="X70" s="16"/>
      <c r="Y70" s="16"/>
      <c r="AH70" s="6"/>
      <c r="AI70" s="7"/>
    </row>
    <row r="71" spans="2:35" x14ac:dyDescent="0.25">
      <c r="B71" s="95"/>
      <c r="C71" s="15" t="s">
        <v>28</v>
      </c>
      <c r="D71" s="16">
        <v>6660000</v>
      </c>
      <c r="E71" s="17">
        <v>43488</v>
      </c>
      <c r="F71" s="17">
        <v>46416</v>
      </c>
      <c r="G71" s="19" t="s">
        <v>92</v>
      </c>
      <c r="H71" s="20">
        <v>1.7500000000000002E-2</v>
      </c>
      <c r="I71" s="16">
        <v>4002857.14</v>
      </c>
      <c r="J71" s="16">
        <v>0</v>
      </c>
      <c r="K71" s="16">
        <v>0</v>
      </c>
      <c r="L71" s="16">
        <f t="shared" si="10"/>
        <v>4002857.14</v>
      </c>
      <c r="M71" s="16">
        <v>210572.72</v>
      </c>
      <c r="N71" s="16">
        <v>28619.41</v>
      </c>
      <c r="O71" s="16">
        <f t="shared" si="11"/>
        <v>2657142.86</v>
      </c>
      <c r="P71" s="18" t="s">
        <v>52</v>
      </c>
      <c r="Q71" s="16">
        <v>1143673.46</v>
      </c>
      <c r="R71" s="16">
        <v>1143673.46</v>
      </c>
      <c r="S71" s="16">
        <v>1143673.46</v>
      </c>
      <c r="T71" s="16">
        <v>571836.76</v>
      </c>
      <c r="U71" s="16"/>
      <c r="V71" s="16"/>
      <c r="W71" s="16"/>
      <c r="X71" s="16"/>
      <c r="Y71" s="16"/>
      <c r="AH71" s="6"/>
      <c r="AI71" s="7"/>
    </row>
    <row r="72" spans="2:35" x14ac:dyDescent="0.25">
      <c r="B72" s="95"/>
      <c r="C72" s="15" t="s">
        <v>45</v>
      </c>
      <c r="D72" s="16">
        <v>3500000</v>
      </c>
      <c r="E72" s="17">
        <v>43616</v>
      </c>
      <c r="F72" s="17">
        <v>45993</v>
      </c>
      <c r="G72" s="19" t="s">
        <v>92</v>
      </c>
      <c r="H72" s="20">
        <v>1.55E-2</v>
      </c>
      <c r="I72" s="16">
        <v>1385990.95</v>
      </c>
      <c r="J72" s="16">
        <v>673958.69</v>
      </c>
      <c r="K72" s="16">
        <v>0</v>
      </c>
      <c r="L72" s="16">
        <f t="shared" si="10"/>
        <v>712032.26</v>
      </c>
      <c r="M72" s="16">
        <v>63037.63</v>
      </c>
      <c r="N72" s="16"/>
      <c r="O72" s="16">
        <f t="shared" si="11"/>
        <v>2787967.74</v>
      </c>
      <c r="P72" s="18" t="s">
        <v>53</v>
      </c>
      <c r="Q72" s="16">
        <v>712032.26</v>
      </c>
      <c r="R72" s="16"/>
      <c r="S72" s="16"/>
      <c r="T72" s="16"/>
      <c r="U72" s="16"/>
      <c r="V72" s="16"/>
      <c r="W72" s="16"/>
      <c r="X72" s="16"/>
      <c r="Y72" s="16"/>
      <c r="AH72" s="6"/>
      <c r="AI72" s="7"/>
    </row>
    <row r="73" spans="2:35" x14ac:dyDescent="0.25">
      <c r="B73" s="95"/>
      <c r="C73" s="15" t="s">
        <v>28</v>
      </c>
      <c r="D73" s="16">
        <v>2700000</v>
      </c>
      <c r="E73" s="17">
        <v>43979</v>
      </c>
      <c r="F73" s="17">
        <v>46170</v>
      </c>
      <c r="G73" s="19" t="s">
        <v>93</v>
      </c>
      <c r="H73" s="20">
        <v>1.7500000000000002E-2</v>
      </c>
      <c r="I73" s="16">
        <v>2025000</v>
      </c>
      <c r="J73" s="16">
        <v>675000</v>
      </c>
      <c r="K73" s="16">
        <v>0</v>
      </c>
      <c r="L73" s="16">
        <f t="shared" si="10"/>
        <v>1350000</v>
      </c>
      <c r="M73" s="16">
        <v>100905.22</v>
      </c>
      <c r="N73" s="16">
        <v>3558.76</v>
      </c>
      <c r="O73" s="16">
        <f t="shared" si="11"/>
        <v>1350000</v>
      </c>
      <c r="P73" s="18" t="s">
        <v>55</v>
      </c>
      <c r="Q73" s="16">
        <v>675000</v>
      </c>
      <c r="R73" s="16">
        <v>675000</v>
      </c>
      <c r="S73" s="16"/>
      <c r="T73" s="16"/>
      <c r="U73" s="16"/>
      <c r="V73" s="16"/>
      <c r="W73" s="16"/>
      <c r="X73" s="16"/>
      <c r="Y73" s="16"/>
      <c r="AH73" s="6"/>
      <c r="AI73" s="7"/>
    </row>
    <row r="74" spans="2:35" x14ac:dyDescent="0.25">
      <c r="B74" s="95"/>
      <c r="C74" s="15" t="s">
        <v>42</v>
      </c>
      <c r="D74" s="16">
        <v>2840000</v>
      </c>
      <c r="E74" s="17">
        <v>42551</v>
      </c>
      <c r="F74" s="17">
        <v>49490</v>
      </c>
      <c r="G74" s="19" t="s">
        <v>21</v>
      </c>
      <c r="H74" s="20">
        <v>1.4999999999999999E-2</v>
      </c>
      <c r="I74" s="16">
        <v>2621538.46</v>
      </c>
      <c r="J74" s="16">
        <v>218461.54</v>
      </c>
      <c r="K74" s="16">
        <v>0</v>
      </c>
      <c r="L74" s="16">
        <f t="shared" si="10"/>
        <v>2403076.92</v>
      </c>
      <c r="M74" s="16">
        <v>146189.57</v>
      </c>
      <c r="N74" s="16">
        <v>0</v>
      </c>
      <c r="O74" s="16">
        <f t="shared" si="11"/>
        <v>436923.08000000007</v>
      </c>
      <c r="P74" s="18" t="s">
        <v>114</v>
      </c>
      <c r="Q74" s="16">
        <v>218461.54</v>
      </c>
      <c r="R74" s="16">
        <v>218461.54</v>
      </c>
      <c r="S74" s="16">
        <v>218461.54</v>
      </c>
      <c r="T74" s="16">
        <v>218461.54</v>
      </c>
      <c r="U74" s="16">
        <v>218461.54</v>
      </c>
      <c r="V74" s="16">
        <v>218461.54</v>
      </c>
      <c r="W74" s="16">
        <v>218461.54</v>
      </c>
      <c r="X74" s="16">
        <v>218461.54</v>
      </c>
      <c r="Y74" s="16">
        <v>218461.54</v>
      </c>
      <c r="Z74" s="16">
        <v>218461.54</v>
      </c>
      <c r="AA74" s="16">
        <v>218461.54</v>
      </c>
      <c r="AH74" s="6"/>
      <c r="AI74" s="7"/>
    </row>
    <row r="75" spans="2:35" x14ac:dyDescent="0.25">
      <c r="B75" s="96"/>
      <c r="C75" s="34" t="s">
        <v>39</v>
      </c>
      <c r="D75" s="16">
        <v>1050000</v>
      </c>
      <c r="E75" s="17">
        <v>44924</v>
      </c>
      <c r="F75" s="17">
        <v>46112</v>
      </c>
      <c r="G75" s="19" t="s">
        <v>91</v>
      </c>
      <c r="H75" s="20">
        <v>0.04</v>
      </c>
      <c r="I75" s="16">
        <v>787500</v>
      </c>
      <c r="J75" s="16">
        <v>262500</v>
      </c>
      <c r="K75" s="16">
        <v>0</v>
      </c>
      <c r="L75" s="16">
        <f t="shared" si="10"/>
        <v>525000</v>
      </c>
      <c r="M75" s="16">
        <v>50566.84</v>
      </c>
      <c r="N75" s="16">
        <v>0</v>
      </c>
      <c r="O75" s="16">
        <f t="shared" si="11"/>
        <v>525000</v>
      </c>
      <c r="P75" s="18" t="s">
        <v>114</v>
      </c>
      <c r="Q75" s="16">
        <v>262500</v>
      </c>
      <c r="R75" s="16">
        <v>262500</v>
      </c>
      <c r="S75" s="16"/>
      <c r="T75" s="16"/>
      <c r="U75" s="16"/>
      <c r="V75" s="16"/>
      <c r="W75" s="16"/>
      <c r="X75" s="16"/>
      <c r="Y75" s="16"/>
      <c r="AH75" s="6"/>
      <c r="AI75" s="7"/>
    </row>
    <row r="76" spans="2:35" x14ac:dyDescent="0.25">
      <c r="B76" s="35"/>
      <c r="C76" s="24" t="s">
        <v>46</v>
      </c>
      <c r="D76" s="36">
        <f>SUM(D68:D75)</f>
        <v>19201330.280000001</v>
      </c>
      <c r="E76" s="35"/>
      <c r="F76" s="37"/>
      <c r="G76" s="38"/>
      <c r="H76" s="39"/>
      <c r="I76" s="40">
        <f>SUM(I68:I75)</f>
        <v>11697851.130000001</v>
      </c>
      <c r="J76" s="40">
        <f t="shared" ref="J76:O76" si="12">SUM(J68:J75)</f>
        <v>2162806.37</v>
      </c>
      <c r="K76" s="40">
        <f t="shared" si="12"/>
        <v>0</v>
      </c>
      <c r="L76" s="40">
        <f t="shared" si="12"/>
        <v>9535044.7599999998</v>
      </c>
      <c r="M76" s="40">
        <f t="shared" si="12"/>
        <v>573582.27</v>
      </c>
      <c r="N76" s="40">
        <f t="shared" si="12"/>
        <v>33337.370000000003</v>
      </c>
      <c r="O76" s="40">
        <f t="shared" si="12"/>
        <v>9666285.5199999996</v>
      </c>
      <c r="P76" s="40"/>
      <c r="Q76" s="40">
        <f t="shared" ref="Q76:AA76" si="13">SUM(Q68:Q75)</f>
        <v>3228498.62</v>
      </c>
      <c r="R76" s="40">
        <f t="shared" si="13"/>
        <v>2516466.36</v>
      </c>
      <c r="S76" s="40">
        <f t="shared" si="13"/>
        <v>1470550.74</v>
      </c>
      <c r="T76" s="40">
        <f t="shared" si="13"/>
        <v>790298.3</v>
      </c>
      <c r="U76" s="40">
        <f t="shared" si="13"/>
        <v>218461.54</v>
      </c>
      <c r="V76" s="40">
        <f t="shared" si="13"/>
        <v>218461.54</v>
      </c>
      <c r="W76" s="40">
        <f t="shared" si="13"/>
        <v>218461.54</v>
      </c>
      <c r="X76" s="40">
        <f t="shared" si="13"/>
        <v>218461.54</v>
      </c>
      <c r="Y76" s="40">
        <f t="shared" si="13"/>
        <v>218461.54</v>
      </c>
      <c r="Z76" s="40">
        <f t="shared" si="13"/>
        <v>218461.54</v>
      </c>
      <c r="AA76" s="40">
        <f t="shared" si="13"/>
        <v>218461.54</v>
      </c>
      <c r="AB76" s="40"/>
      <c r="AC76" s="40"/>
      <c r="AD76" s="40"/>
      <c r="AE76" s="40"/>
      <c r="AF76" s="40"/>
      <c r="AG76" s="40"/>
      <c r="AH76" s="6"/>
      <c r="AI76" s="7"/>
    </row>
    <row r="77" spans="2:35" x14ac:dyDescent="0.25">
      <c r="B77" s="26" t="s">
        <v>56</v>
      </c>
      <c r="C77" s="15" t="s">
        <v>45</v>
      </c>
      <c r="D77" s="41">
        <v>486000</v>
      </c>
      <c r="E77" s="42">
        <v>44558</v>
      </c>
      <c r="F77" s="42">
        <v>48210</v>
      </c>
      <c r="G77" s="43" t="s">
        <v>21</v>
      </c>
      <c r="H77" s="44">
        <v>8.9999999999999993E-3</v>
      </c>
      <c r="I77" s="41">
        <v>439976.1</v>
      </c>
      <c r="J77" s="41">
        <v>45680</v>
      </c>
      <c r="K77" s="41">
        <v>0</v>
      </c>
      <c r="L77" s="41">
        <f t="shared" si="10"/>
        <v>394296.1</v>
      </c>
      <c r="M77" s="41">
        <v>20546.14</v>
      </c>
      <c r="N77" s="41">
        <v>821.87</v>
      </c>
      <c r="O77" s="41">
        <f t="shared" si="11"/>
        <v>91703.900000000023</v>
      </c>
      <c r="P77" s="45" t="s">
        <v>58</v>
      </c>
      <c r="Q77" s="41">
        <v>50530.67</v>
      </c>
      <c r="R77" s="41">
        <v>52349.91</v>
      </c>
      <c r="S77" s="41">
        <v>54234.720000000001</v>
      </c>
      <c r="T77" s="41">
        <v>56187.32</v>
      </c>
      <c r="U77" s="41">
        <v>58210.25</v>
      </c>
      <c r="V77" s="41">
        <v>60306.01</v>
      </c>
      <c r="W77" s="41">
        <v>62477.21</v>
      </c>
      <c r="X77" s="41"/>
      <c r="Y77" s="41"/>
      <c r="Z77" s="41"/>
      <c r="AA77" s="46"/>
      <c r="AB77" s="46"/>
      <c r="AC77" s="46"/>
      <c r="AD77" s="46"/>
      <c r="AE77" s="46"/>
      <c r="AF77" s="46"/>
      <c r="AG77" s="46"/>
      <c r="AH77" s="6"/>
      <c r="AI77" s="7"/>
    </row>
    <row r="78" spans="2:35" x14ac:dyDescent="0.25">
      <c r="B78" s="23"/>
      <c r="C78" s="33" t="s">
        <v>46</v>
      </c>
      <c r="D78" s="25">
        <f>SUM(D77)</f>
        <v>486000</v>
      </c>
      <c r="E78" s="23"/>
      <c r="F78" s="23"/>
      <c r="G78" s="24"/>
      <c r="H78" s="25"/>
      <c r="I78" s="25">
        <f t="shared" ref="I78" si="14">SUM(I77)</f>
        <v>439976.1</v>
      </c>
      <c r="J78" s="25">
        <f t="shared" ref="J78" si="15">SUM(J77)</f>
        <v>45680</v>
      </c>
      <c r="K78" s="25">
        <f t="shared" ref="K78" si="16">SUM(K77)</f>
        <v>0</v>
      </c>
      <c r="L78" s="25">
        <f t="shared" ref="L78" si="17">SUM(L77)</f>
        <v>394296.1</v>
      </c>
      <c r="M78" s="25">
        <f t="shared" ref="M78" si="18">SUM(M77)</f>
        <v>20546.14</v>
      </c>
      <c r="N78" s="25">
        <f t="shared" ref="N78" si="19">SUM(N77)</f>
        <v>821.87</v>
      </c>
      <c r="O78" s="25">
        <f t="shared" ref="O78" si="20">SUM(O77)</f>
        <v>91703.900000000023</v>
      </c>
      <c r="P78" s="25"/>
      <c r="Q78" s="25">
        <f t="shared" ref="Q78" si="21">SUM(Q77)</f>
        <v>50530.67</v>
      </c>
      <c r="R78" s="25">
        <f t="shared" ref="R78" si="22">SUM(R77)</f>
        <v>52349.91</v>
      </c>
      <c r="S78" s="25">
        <f t="shared" ref="S78" si="23">SUM(S77)</f>
        <v>54234.720000000001</v>
      </c>
      <c r="T78" s="25">
        <f t="shared" ref="T78" si="24">SUM(T77)</f>
        <v>56187.32</v>
      </c>
      <c r="U78" s="25">
        <f t="shared" ref="U78" si="25">SUM(U77)</f>
        <v>58210.25</v>
      </c>
      <c r="V78" s="25">
        <f t="shared" ref="V78" si="26">SUM(V77)</f>
        <v>60306.01</v>
      </c>
      <c r="W78" s="25">
        <f t="shared" ref="W78" si="27">SUM(W77)</f>
        <v>62477.21</v>
      </c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6"/>
      <c r="AI78" s="7"/>
    </row>
    <row r="79" spans="2:35" x14ac:dyDescent="0.25">
      <c r="B79" s="26" t="s">
        <v>59</v>
      </c>
      <c r="C79" s="34" t="s">
        <v>25</v>
      </c>
      <c r="D79" s="41">
        <v>4000000</v>
      </c>
      <c r="E79" s="42">
        <v>43497</v>
      </c>
      <c r="F79" s="42">
        <v>47150</v>
      </c>
      <c r="G79" s="43" t="s">
        <v>91</v>
      </c>
      <c r="H79" s="47">
        <v>1.7500000000000002E-2</v>
      </c>
      <c r="I79" s="41">
        <v>2191610.2599999998</v>
      </c>
      <c r="J79" s="41">
        <v>376589.16</v>
      </c>
      <c r="K79" s="41">
        <v>0</v>
      </c>
      <c r="L79" s="41">
        <f t="shared" si="10"/>
        <v>1815021.0999999999</v>
      </c>
      <c r="M79" s="41">
        <v>110403.36</v>
      </c>
      <c r="N79" s="41">
        <v>240</v>
      </c>
      <c r="O79" s="41">
        <f t="shared" si="11"/>
        <v>2184978.9000000004</v>
      </c>
      <c r="P79" s="48" t="s">
        <v>60</v>
      </c>
      <c r="Q79" s="41">
        <v>396903.83</v>
      </c>
      <c r="R79" s="41">
        <v>420757.45999999996</v>
      </c>
      <c r="S79" s="41">
        <v>445191.08</v>
      </c>
      <c r="T79" s="41">
        <v>471043.57999999996</v>
      </c>
      <c r="U79" s="41">
        <v>81124.850000000006</v>
      </c>
      <c r="V79" s="41"/>
      <c r="W79" s="41"/>
      <c r="X79" s="41"/>
      <c r="Y79" s="41"/>
      <c r="Z79" s="41"/>
      <c r="AA79" s="46"/>
      <c r="AB79" s="46"/>
      <c r="AC79" s="46"/>
      <c r="AD79" s="46"/>
      <c r="AE79" s="46"/>
      <c r="AF79" s="46"/>
      <c r="AG79" s="46"/>
      <c r="AH79" s="6"/>
      <c r="AI79" s="7"/>
    </row>
    <row r="80" spans="2:35" x14ac:dyDescent="0.25">
      <c r="B80" s="23"/>
      <c r="C80" s="24" t="s">
        <v>46</v>
      </c>
      <c r="D80" s="25">
        <f>SUM(D79)</f>
        <v>4000000</v>
      </c>
      <c r="E80" s="23"/>
      <c r="F80" s="23"/>
      <c r="G80" s="24"/>
      <c r="H80" s="25"/>
      <c r="I80" s="25">
        <f t="shared" ref="I80" si="28">SUM(I79)</f>
        <v>2191610.2599999998</v>
      </c>
      <c r="J80" s="25">
        <f t="shared" ref="J80" si="29">SUM(J79)</f>
        <v>376589.16</v>
      </c>
      <c r="K80" s="25">
        <f t="shared" ref="K80" si="30">SUM(K79)</f>
        <v>0</v>
      </c>
      <c r="L80" s="25">
        <f t="shared" ref="L80" si="31">SUM(L79)</f>
        <v>1815021.0999999999</v>
      </c>
      <c r="M80" s="25">
        <f t="shared" ref="M80" si="32">SUM(M79)</f>
        <v>110403.36</v>
      </c>
      <c r="N80" s="25">
        <f t="shared" ref="N80" si="33">SUM(N79)</f>
        <v>240</v>
      </c>
      <c r="O80" s="25">
        <f t="shared" ref="O80" si="34">SUM(O79)</f>
        <v>2184978.9000000004</v>
      </c>
      <c r="P80" s="25"/>
      <c r="Q80" s="25">
        <f t="shared" ref="Q80" si="35">SUM(Q79)</f>
        <v>396903.83</v>
      </c>
      <c r="R80" s="25">
        <f t="shared" ref="R80" si="36">SUM(R79)</f>
        <v>420757.45999999996</v>
      </c>
      <c r="S80" s="25">
        <f t="shared" ref="S80" si="37">SUM(S79)</f>
        <v>445191.08</v>
      </c>
      <c r="T80" s="25">
        <f t="shared" ref="T80" si="38">SUM(T79)</f>
        <v>471043.57999999996</v>
      </c>
      <c r="U80" s="25">
        <f t="shared" ref="U80" si="39">SUM(U79)</f>
        <v>81124.850000000006</v>
      </c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6"/>
      <c r="AI80" s="7"/>
    </row>
    <row r="81" spans="2:35" ht="13.5" x14ac:dyDescent="0.25">
      <c r="B81" s="89" t="s">
        <v>128</v>
      </c>
      <c r="C81" s="15" t="s">
        <v>140</v>
      </c>
      <c r="D81" s="16">
        <v>40000000</v>
      </c>
      <c r="E81" s="17">
        <v>44834</v>
      </c>
      <c r="F81" s="17">
        <v>46996</v>
      </c>
      <c r="G81" s="19" t="s">
        <v>21</v>
      </c>
      <c r="H81" s="20">
        <v>1.15E-2</v>
      </c>
      <c r="I81" s="16">
        <v>40000000</v>
      </c>
      <c r="J81" s="16">
        <v>1500000</v>
      </c>
      <c r="K81" s="16">
        <v>0</v>
      </c>
      <c r="L81" s="16">
        <f t="shared" si="10"/>
        <v>38500000</v>
      </c>
      <c r="M81" s="16">
        <v>2008813</v>
      </c>
      <c r="N81" s="16">
        <v>96513</v>
      </c>
      <c r="O81" s="16">
        <f t="shared" si="11"/>
        <v>1500000</v>
      </c>
      <c r="P81" s="49" t="s">
        <v>95</v>
      </c>
      <c r="Q81" s="16">
        <v>6000000</v>
      </c>
      <c r="R81" s="16">
        <v>6500000</v>
      </c>
      <c r="S81" s="16">
        <v>11000000</v>
      </c>
      <c r="T81" s="16">
        <v>15000000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6"/>
      <c r="AI81" s="7"/>
    </row>
    <row r="82" spans="2:35" ht="13.5" x14ac:dyDescent="0.25">
      <c r="B82" s="90"/>
      <c r="C82" s="9" t="s">
        <v>141</v>
      </c>
      <c r="D82" s="16">
        <v>30000000</v>
      </c>
      <c r="E82" s="17">
        <v>44881</v>
      </c>
      <c r="F82" s="17">
        <v>47073</v>
      </c>
      <c r="G82" s="19" t="s">
        <v>127</v>
      </c>
      <c r="H82" s="20">
        <v>1.15E-2</v>
      </c>
      <c r="I82" s="16">
        <v>30000000</v>
      </c>
      <c r="J82" s="16">
        <v>0</v>
      </c>
      <c r="K82" s="16">
        <v>0</v>
      </c>
      <c r="L82" s="16">
        <f t="shared" si="10"/>
        <v>30000000</v>
      </c>
      <c r="M82" s="16">
        <v>1529705</v>
      </c>
      <c r="N82" s="16">
        <v>61188</v>
      </c>
      <c r="O82" s="16">
        <f t="shared" si="11"/>
        <v>0</v>
      </c>
      <c r="P82" s="49" t="s">
        <v>129</v>
      </c>
      <c r="Q82" s="16"/>
      <c r="R82" s="16"/>
      <c r="S82" s="16"/>
      <c r="T82" s="16">
        <v>30000000</v>
      </c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6"/>
      <c r="AI82" s="7"/>
    </row>
    <row r="83" spans="2:35" ht="15" customHeight="1" x14ac:dyDescent="0.25">
      <c r="B83" s="90"/>
      <c r="C83" s="9" t="s">
        <v>142</v>
      </c>
      <c r="D83" s="16">
        <v>65000000</v>
      </c>
      <c r="E83" s="17">
        <v>44858</v>
      </c>
      <c r="F83" s="17">
        <v>47050</v>
      </c>
      <c r="G83" s="92">
        <v>2.8459999999999999E-2</v>
      </c>
      <c r="H83" s="92"/>
      <c r="I83" s="16">
        <v>65000000</v>
      </c>
      <c r="J83" s="16">
        <v>0</v>
      </c>
      <c r="K83" s="16">
        <v>0</v>
      </c>
      <c r="L83" s="16">
        <f t="shared" si="10"/>
        <v>65000000</v>
      </c>
      <c r="M83" s="16">
        <v>2683200</v>
      </c>
      <c r="N83" s="16">
        <v>0</v>
      </c>
      <c r="O83" s="16">
        <f t="shared" si="11"/>
        <v>0</v>
      </c>
      <c r="P83" s="49" t="s">
        <v>130</v>
      </c>
      <c r="Q83" s="16"/>
      <c r="R83" s="16"/>
      <c r="S83" s="16"/>
      <c r="T83" s="16">
        <v>65000000</v>
      </c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6"/>
      <c r="AI83" s="7"/>
    </row>
    <row r="84" spans="2:35" ht="13.5" x14ac:dyDescent="0.25">
      <c r="B84" s="90"/>
      <c r="C84" s="9" t="s">
        <v>142</v>
      </c>
      <c r="D84" s="16">
        <v>65000000</v>
      </c>
      <c r="E84" s="17">
        <v>43454</v>
      </c>
      <c r="F84" s="17">
        <v>47107</v>
      </c>
      <c r="G84" s="92">
        <v>2.7109999999999999E-2</v>
      </c>
      <c r="H84" s="92">
        <v>2.7109999999999999E-2</v>
      </c>
      <c r="I84" s="16">
        <v>65000000</v>
      </c>
      <c r="J84" s="16">
        <v>0</v>
      </c>
      <c r="K84" s="16">
        <v>0</v>
      </c>
      <c r="L84" s="16">
        <f t="shared" si="10"/>
        <v>65000000</v>
      </c>
      <c r="M84" s="16">
        <v>1762150</v>
      </c>
      <c r="N84" s="16">
        <v>0</v>
      </c>
      <c r="O84" s="16">
        <f t="shared" si="11"/>
        <v>0</v>
      </c>
      <c r="P84" s="49" t="s">
        <v>65</v>
      </c>
      <c r="Q84" s="16"/>
      <c r="R84" s="16"/>
      <c r="S84" s="16"/>
      <c r="T84" s="16">
        <v>65000000</v>
      </c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6"/>
      <c r="AI84" s="7"/>
    </row>
    <row r="85" spans="2:35" x14ac:dyDescent="0.25">
      <c r="B85" s="23"/>
      <c r="C85" s="24" t="s">
        <v>46</v>
      </c>
      <c r="D85" s="25">
        <f>SUM(D81:D84)</f>
        <v>200000000</v>
      </c>
      <c r="E85" s="23"/>
      <c r="F85" s="50"/>
      <c r="G85" s="51"/>
      <c r="H85" s="52"/>
      <c r="I85" s="25">
        <f t="shared" ref="I85:O85" si="40">SUM(I81:I84)</f>
        <v>200000000</v>
      </c>
      <c r="J85" s="25">
        <f t="shared" si="40"/>
        <v>1500000</v>
      </c>
      <c r="K85" s="25">
        <f t="shared" si="40"/>
        <v>0</v>
      </c>
      <c r="L85" s="25">
        <f t="shared" si="40"/>
        <v>198500000</v>
      </c>
      <c r="M85" s="25">
        <f t="shared" si="40"/>
        <v>7983868</v>
      </c>
      <c r="N85" s="25">
        <f t="shared" si="40"/>
        <v>157701</v>
      </c>
      <c r="O85" s="25">
        <f t="shared" si="40"/>
        <v>1500000</v>
      </c>
      <c r="P85" s="25"/>
      <c r="Q85" s="25">
        <f t="shared" ref="Q85:T85" si="41">SUM(Q81:Q84)</f>
        <v>6000000</v>
      </c>
      <c r="R85" s="25">
        <f t="shared" si="41"/>
        <v>6500000</v>
      </c>
      <c r="S85" s="25">
        <f t="shared" si="41"/>
        <v>11000000</v>
      </c>
      <c r="T85" s="25">
        <f t="shared" si="41"/>
        <v>175000000</v>
      </c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6"/>
      <c r="AI85" s="7"/>
    </row>
    <row r="86" spans="2:35" x14ac:dyDescent="0.25">
      <c r="B86" s="90" t="s">
        <v>61</v>
      </c>
      <c r="C86" s="9" t="s">
        <v>25</v>
      </c>
      <c r="D86" s="16">
        <v>4000000</v>
      </c>
      <c r="E86" s="17">
        <v>41905</v>
      </c>
      <c r="F86" s="17">
        <v>45739</v>
      </c>
      <c r="G86" s="19" t="s">
        <v>20</v>
      </c>
      <c r="H86" s="20">
        <v>4.2500000000000003E-2</v>
      </c>
      <c r="I86" s="16">
        <v>547762.16</v>
      </c>
      <c r="J86" s="16">
        <v>435160.4</v>
      </c>
      <c r="K86" s="16">
        <v>0</v>
      </c>
      <c r="L86" s="16">
        <f t="shared" si="10"/>
        <v>112601.76000000001</v>
      </c>
      <c r="M86" s="16">
        <v>19632</v>
      </c>
      <c r="N86" s="16">
        <v>1049</v>
      </c>
      <c r="O86" s="16">
        <f>D86-L86</f>
        <v>3887398.24</v>
      </c>
      <c r="P86" s="3"/>
      <c r="Q86" s="16">
        <v>112601.760052005</v>
      </c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6"/>
      <c r="AI86" s="7"/>
    </row>
    <row r="87" spans="2:35" x14ac:dyDescent="0.25">
      <c r="B87" s="90"/>
      <c r="C87" s="9" t="s">
        <v>63</v>
      </c>
      <c r="D87" s="16">
        <v>26619.9</v>
      </c>
      <c r="E87" s="17">
        <v>43462</v>
      </c>
      <c r="F87" s="17">
        <v>45319</v>
      </c>
      <c r="G87" s="92">
        <v>4.2999999999999997E-2</v>
      </c>
      <c r="H87" s="92"/>
      <c r="I87" s="16">
        <v>451.18</v>
      </c>
      <c r="J87" s="16">
        <v>451.18</v>
      </c>
      <c r="K87" s="16">
        <v>0</v>
      </c>
      <c r="L87" s="16">
        <f t="shared" si="10"/>
        <v>0</v>
      </c>
      <c r="M87" s="16">
        <v>2.6</v>
      </c>
      <c r="N87" s="16">
        <v>2.44</v>
      </c>
      <c r="O87" s="16">
        <f t="shared" ref="O87:O88" si="42">D87-L87</f>
        <v>26619.9</v>
      </c>
      <c r="P87" s="8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6"/>
      <c r="AI87" s="7"/>
    </row>
    <row r="88" spans="2:35" x14ac:dyDescent="0.25">
      <c r="B88" s="90"/>
      <c r="C88" s="9" t="s">
        <v>24</v>
      </c>
      <c r="D88" s="16">
        <v>40500000</v>
      </c>
      <c r="E88" s="17">
        <v>43000</v>
      </c>
      <c r="F88" s="17">
        <v>47839</v>
      </c>
      <c r="G88" s="92">
        <v>4.4499999999999998E-2</v>
      </c>
      <c r="H88" s="92"/>
      <c r="I88" s="16">
        <v>27646924.350000001</v>
      </c>
      <c r="J88" s="16">
        <v>3399737.1000000043</v>
      </c>
      <c r="K88" s="16">
        <v>0</v>
      </c>
      <c r="L88" s="16">
        <f t="shared" si="10"/>
        <v>24247187.249999996</v>
      </c>
      <c r="M88" s="16">
        <v>1179706.96</v>
      </c>
      <c r="N88" s="16">
        <v>44.16</v>
      </c>
      <c r="O88" s="16">
        <f t="shared" si="42"/>
        <v>16252812.750000004</v>
      </c>
      <c r="P88" s="8"/>
      <c r="Q88" s="16">
        <v>3553382.54</v>
      </c>
      <c r="R88" s="16">
        <v>3717364.9</v>
      </c>
      <c r="S88" s="16">
        <v>3888914.8</v>
      </c>
      <c r="T88" s="16">
        <v>4068381.42</v>
      </c>
      <c r="U88" s="16">
        <v>4256130.08</v>
      </c>
      <c r="V88" s="16">
        <v>4763013.5099999905</v>
      </c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6"/>
      <c r="AI88" s="7"/>
    </row>
    <row r="89" spans="2:35" ht="15" customHeight="1" x14ac:dyDescent="0.25">
      <c r="B89" s="90"/>
      <c r="C89" s="9" t="s">
        <v>25</v>
      </c>
      <c r="D89" s="16">
        <v>30000000</v>
      </c>
      <c r="E89" s="17">
        <v>45527</v>
      </c>
      <c r="F89" s="17">
        <v>45770</v>
      </c>
      <c r="G89" s="92">
        <v>5.5E-2</v>
      </c>
      <c r="H89" s="92"/>
      <c r="I89" s="16">
        <v>0</v>
      </c>
      <c r="J89" s="16">
        <v>0</v>
      </c>
      <c r="K89" s="16">
        <v>30000000</v>
      </c>
      <c r="L89" s="16">
        <f t="shared" si="10"/>
        <v>30000000</v>
      </c>
      <c r="M89" s="16">
        <v>483847.22</v>
      </c>
      <c r="N89" s="16">
        <v>19437.09</v>
      </c>
      <c r="O89" s="16">
        <v>0</v>
      </c>
      <c r="P89" s="8" t="s">
        <v>164</v>
      </c>
      <c r="Q89" s="16">
        <v>30000000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6"/>
      <c r="AI89" s="7"/>
    </row>
    <row r="90" spans="2:35" x14ac:dyDescent="0.25">
      <c r="B90" s="90"/>
      <c r="C90" s="15" t="s">
        <v>45</v>
      </c>
      <c r="D90" s="16">
        <v>40000000</v>
      </c>
      <c r="E90" s="17">
        <v>45615</v>
      </c>
      <c r="F90" s="17">
        <v>46345</v>
      </c>
      <c r="G90" s="19" t="s">
        <v>165</v>
      </c>
      <c r="H90" s="20">
        <v>1.6500000000000001E-2</v>
      </c>
      <c r="I90" s="16">
        <v>0</v>
      </c>
      <c r="J90" s="16">
        <v>0</v>
      </c>
      <c r="K90" s="16">
        <v>40000000</v>
      </c>
      <c r="L90" s="16">
        <f t="shared" si="10"/>
        <v>40000000</v>
      </c>
      <c r="M90" s="16">
        <v>0</v>
      </c>
      <c r="N90" s="16">
        <v>0</v>
      </c>
      <c r="O90" s="16">
        <v>0</v>
      </c>
      <c r="P90" s="8" t="s">
        <v>166</v>
      </c>
      <c r="Q90" s="16">
        <v>25666487.6772727</v>
      </c>
      <c r="R90" s="16">
        <v>14333512.3227273</v>
      </c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6"/>
      <c r="AI90" s="7"/>
    </row>
    <row r="91" spans="2:35" x14ac:dyDescent="0.25">
      <c r="B91" s="23"/>
      <c r="C91" s="24" t="s">
        <v>46</v>
      </c>
      <c r="D91" s="25">
        <f>SUM(D86:D90)</f>
        <v>114526619.90000001</v>
      </c>
      <c r="E91" s="23"/>
      <c r="F91" s="50"/>
      <c r="G91" s="51"/>
      <c r="H91" s="52"/>
      <c r="I91" s="25">
        <f t="shared" ref="I91:O91" si="43">SUM(I86:I90)</f>
        <v>28195137.690000001</v>
      </c>
      <c r="J91" s="25">
        <f t="shared" si="43"/>
        <v>3835348.6800000044</v>
      </c>
      <c r="K91" s="25">
        <f t="shared" si="43"/>
        <v>70000000</v>
      </c>
      <c r="L91" s="25">
        <f t="shared" si="43"/>
        <v>94359789.00999999</v>
      </c>
      <c r="M91" s="25">
        <f t="shared" si="43"/>
        <v>1683188.78</v>
      </c>
      <c r="N91" s="25">
        <f t="shared" si="43"/>
        <v>20532.689999999999</v>
      </c>
      <c r="O91" s="25">
        <f t="shared" si="43"/>
        <v>20166830.890000004</v>
      </c>
      <c r="P91" s="25"/>
      <c r="Q91" s="25">
        <f t="shared" ref="Q91:V91" si="44">SUM(Q86:Q90)</f>
        <v>59332471.977324702</v>
      </c>
      <c r="R91" s="25">
        <f t="shared" si="44"/>
        <v>18050877.222727299</v>
      </c>
      <c r="S91" s="25">
        <f t="shared" si="44"/>
        <v>3888914.8</v>
      </c>
      <c r="T91" s="25">
        <f t="shared" si="44"/>
        <v>4068381.42</v>
      </c>
      <c r="U91" s="25">
        <f t="shared" si="44"/>
        <v>4256130.08</v>
      </c>
      <c r="V91" s="25">
        <f t="shared" si="44"/>
        <v>4763013.5099999905</v>
      </c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6"/>
      <c r="AI91" s="7"/>
    </row>
    <row r="92" spans="2:35" x14ac:dyDescent="0.25">
      <c r="B92" s="87" t="s">
        <v>66</v>
      </c>
      <c r="C92" s="9" t="s">
        <v>25</v>
      </c>
      <c r="D92" s="16">
        <v>4000000</v>
      </c>
      <c r="E92" s="17">
        <v>41905</v>
      </c>
      <c r="F92" s="17">
        <v>45739</v>
      </c>
      <c r="G92" s="19" t="s">
        <v>20</v>
      </c>
      <c r="H92" s="53">
        <v>4.2500000000000003E-2</v>
      </c>
      <c r="I92" s="16">
        <v>547762.31000000006</v>
      </c>
      <c r="J92" s="16">
        <v>435160.55</v>
      </c>
      <c r="K92" s="16">
        <v>0</v>
      </c>
      <c r="L92" s="16">
        <f>I92-J92</f>
        <v>112601.76000000007</v>
      </c>
      <c r="M92" s="6">
        <v>19632</v>
      </c>
      <c r="N92" s="6">
        <v>1049</v>
      </c>
      <c r="O92" s="6">
        <f t="shared" ref="O92" si="45">D92-L92</f>
        <v>3887398.2399999998</v>
      </c>
      <c r="P92" s="8"/>
      <c r="Q92" s="16">
        <v>112602</v>
      </c>
      <c r="R92" s="16"/>
      <c r="S92" s="16"/>
      <c r="T92" s="16"/>
      <c r="U92" s="16"/>
      <c r="V92" s="16"/>
      <c r="W92" s="16"/>
      <c r="AH92" s="6"/>
      <c r="AI92" s="7"/>
    </row>
    <row r="93" spans="2:35" x14ac:dyDescent="0.25">
      <c r="B93" s="23"/>
      <c r="C93" s="24" t="s">
        <v>46</v>
      </c>
      <c r="D93" s="25">
        <f>SUM(D92:D92)</f>
        <v>4000000</v>
      </c>
      <c r="E93" s="23"/>
      <c r="F93" s="50"/>
      <c r="G93" s="51"/>
      <c r="H93" s="52"/>
      <c r="I93" s="25">
        <f t="shared" ref="I93:O93" si="46">SUM(I92:I92)</f>
        <v>547762.31000000006</v>
      </c>
      <c r="J93" s="25">
        <f t="shared" si="46"/>
        <v>435160.55</v>
      </c>
      <c r="K93" s="25">
        <f t="shared" si="46"/>
        <v>0</v>
      </c>
      <c r="L93" s="25">
        <f t="shared" si="46"/>
        <v>112601.76000000007</v>
      </c>
      <c r="M93" s="25">
        <f t="shared" si="46"/>
        <v>19632</v>
      </c>
      <c r="N93" s="25">
        <f t="shared" si="46"/>
        <v>1049</v>
      </c>
      <c r="O93" s="25">
        <f t="shared" si="46"/>
        <v>3887398.2399999998</v>
      </c>
      <c r="P93" s="25"/>
      <c r="Q93" s="25">
        <f t="shared" ref="Q93" si="47">SUM(Q92:Q92)</f>
        <v>112602</v>
      </c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6"/>
      <c r="AI93" s="7"/>
    </row>
    <row r="94" spans="2:35" ht="15" customHeight="1" x14ac:dyDescent="0.25">
      <c r="B94" s="94" t="s">
        <v>67</v>
      </c>
      <c r="C94" s="9" t="s">
        <v>23</v>
      </c>
      <c r="D94" s="16">
        <v>11600000</v>
      </c>
      <c r="E94" s="17">
        <v>43630</v>
      </c>
      <c r="F94" s="17">
        <v>47831</v>
      </c>
      <c r="G94" s="19" t="s">
        <v>21</v>
      </c>
      <c r="H94" s="20">
        <v>1.4749999999999999E-2</v>
      </c>
      <c r="I94" s="16">
        <v>9145684.2199999988</v>
      </c>
      <c r="J94" s="16">
        <v>818105.26</v>
      </c>
      <c r="K94" s="16">
        <v>0</v>
      </c>
      <c r="L94" s="16">
        <f>I94-J94+K94</f>
        <v>8327578.959999999</v>
      </c>
      <c r="M94" s="16">
        <v>482325.22</v>
      </c>
      <c r="N94" s="16">
        <v>19542.61</v>
      </c>
      <c r="O94" s="16">
        <f t="shared" ref="O94:O130" si="48">D94-L94</f>
        <v>3272421.040000001</v>
      </c>
      <c r="P94" s="8" t="s">
        <v>102</v>
      </c>
      <c r="Q94" s="16">
        <v>818105.26</v>
      </c>
      <c r="R94" s="16">
        <v>818105.26</v>
      </c>
      <c r="S94" s="16">
        <v>818105.26</v>
      </c>
      <c r="T94" s="16">
        <v>818105.26</v>
      </c>
      <c r="U94" s="16">
        <v>818105.26</v>
      </c>
      <c r="V94" s="16">
        <v>4237052.66</v>
      </c>
      <c r="W94" s="16"/>
      <c r="X94" s="16"/>
      <c r="Y94" s="16"/>
      <c r="AH94" s="6"/>
      <c r="AI94" s="7"/>
    </row>
    <row r="95" spans="2:35" ht="15" customHeight="1" x14ac:dyDescent="0.25">
      <c r="B95" s="95"/>
      <c r="C95" s="9" t="s">
        <v>23</v>
      </c>
      <c r="D95" s="16">
        <v>4700000</v>
      </c>
      <c r="E95" s="17">
        <v>43825</v>
      </c>
      <c r="F95" s="17">
        <v>48025</v>
      </c>
      <c r="G95" s="19" t="s">
        <v>21</v>
      </c>
      <c r="H95" s="20">
        <v>7.0000000000000001E-3</v>
      </c>
      <c r="I95" s="16">
        <v>3871315.8</v>
      </c>
      <c r="J95" s="16">
        <v>331473.68</v>
      </c>
      <c r="K95" s="16">
        <v>0</v>
      </c>
      <c r="L95" s="16">
        <f t="shared" ref="L95:L130" si="49">I95-J95+K95</f>
        <v>3539842.1199999996</v>
      </c>
      <c r="M95" s="16">
        <v>164924.99</v>
      </c>
      <c r="N95" s="16">
        <v>6846.6</v>
      </c>
      <c r="O95" s="16">
        <f t="shared" si="48"/>
        <v>1160157.8800000004</v>
      </c>
      <c r="P95" s="8" t="s">
        <v>96</v>
      </c>
      <c r="Q95" s="16">
        <v>331473.68</v>
      </c>
      <c r="R95" s="16">
        <v>331473.68</v>
      </c>
      <c r="S95" s="16">
        <v>331473.68</v>
      </c>
      <c r="T95" s="16">
        <v>331473.68</v>
      </c>
      <c r="U95" s="16">
        <v>331473.68</v>
      </c>
      <c r="V95" s="16">
        <v>331473.71999999997</v>
      </c>
      <c r="W95" s="16">
        <v>1551000</v>
      </c>
      <c r="X95" s="16"/>
      <c r="Y95" s="16"/>
      <c r="AH95" s="6"/>
      <c r="AI95" s="7"/>
    </row>
    <row r="96" spans="2:35" ht="15" customHeight="1" x14ac:dyDescent="0.25">
      <c r="B96" s="95"/>
      <c r="C96" s="9" t="s">
        <v>23</v>
      </c>
      <c r="D96" s="16">
        <v>9755000</v>
      </c>
      <c r="E96" s="17">
        <v>43986</v>
      </c>
      <c r="F96" s="17">
        <v>47638</v>
      </c>
      <c r="G96" s="19" t="s">
        <v>20</v>
      </c>
      <c r="H96" s="20">
        <v>0.01</v>
      </c>
      <c r="I96" s="16">
        <v>7059539.54</v>
      </c>
      <c r="J96" s="16">
        <v>770131.56</v>
      </c>
      <c r="K96" s="16">
        <v>0</v>
      </c>
      <c r="L96" s="16">
        <f t="shared" si="49"/>
        <v>6289407.9800000004</v>
      </c>
      <c r="M96" s="16">
        <v>342215.33999999997</v>
      </c>
      <c r="N96" s="16">
        <v>14936.61</v>
      </c>
      <c r="O96" s="16">
        <f t="shared" si="48"/>
        <v>3465592.0199999996</v>
      </c>
      <c r="P96" s="8" t="s">
        <v>97</v>
      </c>
      <c r="Q96" s="16">
        <v>770131.56</v>
      </c>
      <c r="R96" s="16">
        <v>770131.56</v>
      </c>
      <c r="S96" s="16">
        <v>770131.56</v>
      </c>
      <c r="T96" s="16">
        <v>770131.56</v>
      </c>
      <c r="U96" s="16">
        <v>770131.74</v>
      </c>
      <c r="V96" s="16">
        <v>2438750</v>
      </c>
      <c r="W96" s="16"/>
      <c r="X96" s="16"/>
      <c r="Y96" s="16"/>
      <c r="AH96" s="6"/>
      <c r="AI96" s="7"/>
    </row>
    <row r="97" spans="2:35" ht="15" customHeight="1" x14ac:dyDescent="0.25">
      <c r="B97" s="95"/>
      <c r="C97" s="9" t="s">
        <v>23</v>
      </c>
      <c r="D97" s="16">
        <v>8900000</v>
      </c>
      <c r="E97" s="17">
        <v>44356</v>
      </c>
      <c r="F97" s="17">
        <v>48008</v>
      </c>
      <c r="G97" s="19" t="s">
        <v>20</v>
      </c>
      <c r="H97" s="20">
        <v>3.7499999999999999E-3</v>
      </c>
      <c r="I97" s="16">
        <v>6909210.5499999998</v>
      </c>
      <c r="J97" s="16">
        <v>796315.78</v>
      </c>
      <c r="K97" s="16">
        <v>0</v>
      </c>
      <c r="L97" s="16">
        <f t="shared" si="49"/>
        <v>6112894.7699999996</v>
      </c>
      <c r="M97" s="16">
        <v>288231.90999999997</v>
      </c>
      <c r="N97" s="16">
        <v>16716.27</v>
      </c>
      <c r="O97" s="16">
        <f t="shared" si="48"/>
        <v>2787105.2300000004</v>
      </c>
      <c r="P97" s="8" t="s">
        <v>98</v>
      </c>
      <c r="Q97" s="16">
        <v>796315.78</v>
      </c>
      <c r="R97" s="16">
        <v>796315.78</v>
      </c>
      <c r="S97" s="16">
        <v>796315.78</v>
      </c>
      <c r="T97" s="16">
        <v>796315.78</v>
      </c>
      <c r="U97" s="16">
        <v>796315.78</v>
      </c>
      <c r="V97" s="16">
        <v>796315.87000000011</v>
      </c>
      <c r="W97" s="16">
        <v>1335000</v>
      </c>
      <c r="X97" s="16"/>
      <c r="Y97" s="16"/>
      <c r="AH97" s="6"/>
      <c r="AI97" s="7"/>
    </row>
    <row r="98" spans="2:35" ht="15" customHeight="1" x14ac:dyDescent="0.25">
      <c r="B98" s="95"/>
      <c r="C98" s="9" t="s">
        <v>23</v>
      </c>
      <c r="D98" s="16">
        <v>11400000</v>
      </c>
      <c r="E98" s="17">
        <v>45079</v>
      </c>
      <c r="F98" s="17">
        <v>48732</v>
      </c>
      <c r="G98" s="19" t="s">
        <v>20</v>
      </c>
      <c r="H98" s="20">
        <v>7.6E-3</v>
      </c>
      <c r="I98" s="16">
        <v>10920000</v>
      </c>
      <c r="J98" s="16">
        <v>960000</v>
      </c>
      <c r="K98" s="16">
        <v>0</v>
      </c>
      <c r="L98" s="16">
        <f t="shared" si="49"/>
        <v>9960000</v>
      </c>
      <c r="M98" s="16">
        <v>507304.05999999994</v>
      </c>
      <c r="N98" s="16">
        <v>22788.160000000003</v>
      </c>
      <c r="O98" s="16">
        <f t="shared" si="48"/>
        <v>1440000</v>
      </c>
      <c r="P98" s="8" t="s">
        <v>121</v>
      </c>
      <c r="Q98" s="16">
        <v>960000</v>
      </c>
      <c r="R98" s="16">
        <v>960000</v>
      </c>
      <c r="S98" s="16">
        <v>960000</v>
      </c>
      <c r="T98" s="16">
        <v>960000</v>
      </c>
      <c r="U98" s="16">
        <v>960000</v>
      </c>
      <c r="V98" s="16">
        <v>960000</v>
      </c>
      <c r="W98" s="16">
        <v>960000</v>
      </c>
      <c r="X98" s="16">
        <v>960000</v>
      </c>
      <c r="Y98" s="16">
        <v>2280000</v>
      </c>
      <c r="AH98" s="6"/>
      <c r="AI98" s="7"/>
    </row>
    <row r="99" spans="2:35" ht="15" customHeight="1" x14ac:dyDescent="0.25">
      <c r="B99" s="95"/>
      <c r="C99" s="9" t="s">
        <v>23</v>
      </c>
      <c r="D99" s="16">
        <v>20000000</v>
      </c>
      <c r="E99" s="17">
        <v>45477</v>
      </c>
      <c r="F99" s="17">
        <v>49129</v>
      </c>
      <c r="G99" s="19" t="s">
        <v>21</v>
      </c>
      <c r="H99" s="20">
        <v>3.8E-3</v>
      </c>
      <c r="I99" s="16">
        <v>0</v>
      </c>
      <c r="J99" s="16">
        <v>0</v>
      </c>
      <c r="K99" s="16">
        <v>20000000</v>
      </c>
      <c r="L99" s="16">
        <f t="shared" si="49"/>
        <v>20000000</v>
      </c>
      <c r="M99" s="16">
        <v>0</v>
      </c>
      <c r="N99" s="16">
        <v>203200</v>
      </c>
      <c r="O99" s="16">
        <f t="shared" si="48"/>
        <v>0</v>
      </c>
      <c r="P99" s="8" t="s">
        <v>156</v>
      </c>
      <c r="Q99" s="16">
        <v>2000000</v>
      </c>
      <c r="R99" s="16">
        <v>2000000</v>
      </c>
      <c r="S99" s="16">
        <v>2000000</v>
      </c>
      <c r="T99" s="16">
        <v>2000000</v>
      </c>
      <c r="U99" s="16">
        <v>2000000</v>
      </c>
      <c r="V99" s="16">
        <v>2000000</v>
      </c>
      <c r="W99" s="16">
        <v>2000000</v>
      </c>
      <c r="X99" s="16">
        <v>2000000</v>
      </c>
      <c r="Y99" s="16">
        <v>2000000</v>
      </c>
      <c r="Z99" s="1">
        <v>2000000</v>
      </c>
      <c r="AH99" s="6"/>
      <c r="AI99" s="7"/>
    </row>
    <row r="100" spans="2:35" ht="15" customHeight="1" x14ac:dyDescent="0.25">
      <c r="B100" s="95"/>
      <c r="C100" s="9" t="s">
        <v>22</v>
      </c>
      <c r="D100" s="16">
        <v>12500000</v>
      </c>
      <c r="E100" s="17">
        <v>42521</v>
      </c>
      <c r="F100" s="17">
        <v>46721</v>
      </c>
      <c r="G100" s="19" t="s">
        <v>21</v>
      </c>
      <c r="H100" s="20">
        <v>2.4899999999999999E-2</v>
      </c>
      <c r="I100" s="16">
        <v>8849557.8200000003</v>
      </c>
      <c r="J100" s="16">
        <v>8849557.8200000003</v>
      </c>
      <c r="K100" s="16">
        <v>0</v>
      </c>
      <c r="L100" s="16">
        <f t="shared" si="49"/>
        <v>0</v>
      </c>
      <c r="M100" s="16">
        <v>535167.55999999994</v>
      </c>
      <c r="N100" s="16">
        <v>278530.61464799999</v>
      </c>
      <c r="O100" s="16">
        <f t="shared" si="48"/>
        <v>12500000</v>
      </c>
      <c r="P100" s="8" t="s">
        <v>99</v>
      </c>
      <c r="Q100" s="16"/>
      <c r="R100" s="16"/>
      <c r="S100" s="16"/>
      <c r="T100" s="16"/>
      <c r="U100" s="16"/>
      <c r="V100" s="16"/>
      <c r="W100" s="16"/>
      <c r="X100" s="16"/>
      <c r="Y100" s="16"/>
      <c r="AH100" s="6"/>
      <c r="AI100" s="7"/>
    </row>
    <row r="101" spans="2:35" ht="15" customHeight="1" x14ac:dyDescent="0.25">
      <c r="B101" s="95"/>
      <c r="C101" s="9" t="s">
        <v>40</v>
      </c>
      <c r="D101" s="16">
        <v>7000000</v>
      </c>
      <c r="E101" s="17">
        <v>42907</v>
      </c>
      <c r="F101" s="17">
        <v>47108</v>
      </c>
      <c r="G101" s="19" t="s">
        <v>20</v>
      </c>
      <c r="H101" s="20">
        <v>2.375E-2</v>
      </c>
      <c r="I101" s="16">
        <v>4758760.78</v>
      </c>
      <c r="J101" s="16">
        <v>498053.16</v>
      </c>
      <c r="K101" s="16">
        <v>0</v>
      </c>
      <c r="L101" s="16">
        <f t="shared" si="49"/>
        <v>4260707.62</v>
      </c>
      <c r="M101" s="16">
        <v>290406.92999999993</v>
      </c>
      <c r="N101" s="16">
        <v>11697.659999999996</v>
      </c>
      <c r="O101" s="16">
        <f t="shared" si="48"/>
        <v>2739292.38</v>
      </c>
      <c r="P101" s="8" t="s">
        <v>100</v>
      </c>
      <c r="Q101" s="16">
        <v>498053.16</v>
      </c>
      <c r="R101" s="16">
        <v>498053.16</v>
      </c>
      <c r="S101" s="16">
        <v>498053.16</v>
      </c>
      <c r="T101" s="16">
        <v>2766548.14</v>
      </c>
      <c r="U101" s="16"/>
      <c r="V101" s="16"/>
      <c r="W101" s="16"/>
      <c r="X101" s="16"/>
      <c r="Y101" s="16"/>
      <c r="AH101" s="6"/>
      <c r="AI101" s="7"/>
    </row>
    <row r="102" spans="2:35" ht="15" customHeight="1" x14ac:dyDescent="0.25">
      <c r="B102" s="95"/>
      <c r="C102" s="9" t="s">
        <v>40</v>
      </c>
      <c r="D102" s="16">
        <v>3262500.06</v>
      </c>
      <c r="E102" s="17">
        <v>43257</v>
      </c>
      <c r="F102" s="17">
        <v>45632</v>
      </c>
      <c r="G102" s="19" t="s">
        <v>20</v>
      </c>
      <c r="H102" s="20">
        <v>1.7500000000000002E-2</v>
      </c>
      <c r="I102" s="16">
        <v>1957500.06</v>
      </c>
      <c r="J102" s="16">
        <v>1957500.06</v>
      </c>
      <c r="K102" s="16">
        <v>0</v>
      </c>
      <c r="L102" s="16">
        <f t="shared" si="49"/>
        <v>0</v>
      </c>
      <c r="M102" s="16">
        <v>104450.18999999999</v>
      </c>
      <c r="N102" s="16">
        <v>4282.4988000000003</v>
      </c>
      <c r="O102" s="16">
        <f t="shared" si="48"/>
        <v>3262500.06</v>
      </c>
      <c r="P102" s="8" t="s">
        <v>101</v>
      </c>
      <c r="Q102" s="16"/>
      <c r="R102" s="16"/>
      <c r="S102" s="16"/>
      <c r="T102" s="16"/>
      <c r="U102" s="16"/>
      <c r="V102" s="16"/>
      <c r="W102" s="16"/>
      <c r="X102" s="16"/>
      <c r="Y102" s="16"/>
      <c r="AH102" s="6"/>
      <c r="AI102" s="7"/>
    </row>
    <row r="103" spans="2:35" ht="15" customHeight="1" x14ac:dyDescent="0.25">
      <c r="B103" s="95"/>
      <c r="C103" s="9" t="s">
        <v>40</v>
      </c>
      <c r="D103" s="16">
        <v>5637499.9400000004</v>
      </c>
      <c r="E103" s="17">
        <v>43257</v>
      </c>
      <c r="F103" s="17">
        <v>45632</v>
      </c>
      <c r="G103" s="19" t="s">
        <v>20</v>
      </c>
      <c r="H103" s="20">
        <v>1.7500000000000002E-2</v>
      </c>
      <c r="I103" s="16">
        <v>3445139.0000000005</v>
      </c>
      <c r="J103" s="16">
        <v>3445139</v>
      </c>
      <c r="K103" s="16">
        <v>0</v>
      </c>
      <c r="L103" s="16">
        <f t="shared" si="49"/>
        <v>4.6566128730773926E-10</v>
      </c>
      <c r="M103" s="16">
        <v>182467.64</v>
      </c>
      <c r="N103" s="16">
        <v>7865.0523999999987</v>
      </c>
      <c r="O103" s="16">
        <f t="shared" si="48"/>
        <v>5637499.9399999995</v>
      </c>
      <c r="P103" s="8" t="s">
        <v>101</v>
      </c>
      <c r="Q103" s="16"/>
      <c r="R103" s="16"/>
      <c r="S103" s="16"/>
      <c r="T103" s="16"/>
      <c r="U103" s="16"/>
      <c r="V103" s="16"/>
      <c r="W103" s="16"/>
      <c r="X103" s="16"/>
      <c r="Y103" s="16"/>
      <c r="AH103" s="6"/>
      <c r="AI103" s="7"/>
    </row>
    <row r="104" spans="2:35" ht="15" customHeight="1" x14ac:dyDescent="0.25">
      <c r="B104" s="95"/>
      <c r="C104" s="9" t="s">
        <v>45</v>
      </c>
      <c r="D104" s="16">
        <v>1766000</v>
      </c>
      <c r="E104" s="17">
        <v>43075</v>
      </c>
      <c r="F104" s="17">
        <v>47244</v>
      </c>
      <c r="G104" s="19" t="s">
        <v>21</v>
      </c>
      <c r="H104" s="20">
        <v>1.9E-2</v>
      </c>
      <c r="I104" s="16">
        <v>1013471.56</v>
      </c>
      <c r="J104" s="16">
        <v>162640.72999999998</v>
      </c>
      <c r="K104" s="16">
        <v>0</v>
      </c>
      <c r="L104" s="16">
        <f t="shared" si="49"/>
        <v>850830.83000000007</v>
      </c>
      <c r="M104" s="16">
        <v>55652.249999999993</v>
      </c>
      <c r="N104" s="16">
        <v>2226.1000000000004</v>
      </c>
      <c r="O104" s="16">
        <f t="shared" si="48"/>
        <v>915169.16999999993</v>
      </c>
      <c r="P104" s="8" t="s">
        <v>103</v>
      </c>
      <c r="Q104" s="16">
        <v>177875.67</v>
      </c>
      <c r="R104" s="16">
        <v>186368.38</v>
      </c>
      <c r="S104" s="16">
        <v>194948.56</v>
      </c>
      <c r="T104" s="16">
        <v>203923.54000000004</v>
      </c>
      <c r="U104" s="16">
        <v>87714.680000000008</v>
      </c>
      <c r="V104" s="16"/>
      <c r="W104" s="16"/>
      <c r="X104" s="16"/>
      <c r="Y104" s="16"/>
      <c r="AH104" s="6"/>
      <c r="AI104" s="7"/>
    </row>
    <row r="105" spans="2:35" ht="15" customHeight="1" x14ac:dyDescent="0.25">
      <c r="B105" s="95"/>
      <c r="C105" s="9" t="s">
        <v>45</v>
      </c>
      <c r="D105" s="16">
        <v>4000000</v>
      </c>
      <c r="E105" s="17">
        <v>43417</v>
      </c>
      <c r="F105" s="17">
        <v>47586</v>
      </c>
      <c r="G105" s="19" t="s">
        <v>21</v>
      </c>
      <c r="H105" s="20">
        <v>1.7500000000000002E-2</v>
      </c>
      <c r="I105" s="16">
        <v>2654706.0499999998</v>
      </c>
      <c r="J105" s="16">
        <v>355092.37</v>
      </c>
      <c r="K105" s="16">
        <v>0</v>
      </c>
      <c r="L105" s="16">
        <f t="shared" si="49"/>
        <v>2299613.6799999997</v>
      </c>
      <c r="M105" s="16">
        <v>144562.49</v>
      </c>
      <c r="N105" s="16">
        <v>5782.5</v>
      </c>
      <c r="O105" s="16">
        <f t="shared" si="48"/>
        <v>1700386.3200000003</v>
      </c>
      <c r="P105" s="8" t="s">
        <v>104</v>
      </c>
      <c r="Q105" s="16">
        <v>389443.04000000004</v>
      </c>
      <c r="R105" s="16">
        <v>409438.4</v>
      </c>
      <c r="S105" s="16">
        <v>427623.04000000004</v>
      </c>
      <c r="T105" s="16">
        <v>446615.27</v>
      </c>
      <c r="U105" s="16">
        <v>466451.14</v>
      </c>
      <c r="V105" s="16">
        <v>160042.79</v>
      </c>
      <c r="W105" s="16"/>
      <c r="X105" s="16"/>
      <c r="Y105" s="16"/>
      <c r="AH105" s="6"/>
      <c r="AI105" s="7"/>
    </row>
    <row r="106" spans="2:35" ht="15" customHeight="1" x14ac:dyDescent="0.25">
      <c r="B106" s="95"/>
      <c r="C106" s="9" t="s">
        <v>45</v>
      </c>
      <c r="D106" s="16">
        <v>60000000</v>
      </c>
      <c r="E106" s="17">
        <v>45079</v>
      </c>
      <c r="F106" s="17">
        <v>46175</v>
      </c>
      <c r="G106" s="19" t="s">
        <v>20</v>
      </c>
      <c r="H106" s="20">
        <v>7.0000000000000001E-3</v>
      </c>
      <c r="I106" s="16">
        <v>60000000</v>
      </c>
      <c r="J106" s="16">
        <v>0</v>
      </c>
      <c r="K106" s="16">
        <v>0</v>
      </c>
      <c r="L106" s="16">
        <f t="shared" si="49"/>
        <v>60000000</v>
      </c>
      <c r="M106" s="16">
        <v>2790445</v>
      </c>
      <c r="N106" s="16">
        <v>111617.8</v>
      </c>
      <c r="O106" s="16">
        <f t="shared" si="48"/>
        <v>0</v>
      </c>
      <c r="P106" s="8" t="s">
        <v>122</v>
      </c>
      <c r="Q106" s="16"/>
      <c r="R106" s="16">
        <v>60000000</v>
      </c>
      <c r="S106" s="16"/>
      <c r="T106" s="16"/>
      <c r="U106" s="16"/>
      <c r="V106" s="16"/>
      <c r="W106" s="16"/>
      <c r="X106" s="16"/>
      <c r="Y106" s="16"/>
      <c r="AH106" s="6"/>
      <c r="AI106" s="7"/>
    </row>
    <row r="107" spans="2:35" ht="15" customHeight="1" x14ac:dyDescent="0.25">
      <c r="B107" s="95"/>
      <c r="C107" s="9" t="s">
        <v>24</v>
      </c>
      <c r="D107" s="16">
        <v>7100000</v>
      </c>
      <c r="E107" s="17">
        <v>44690</v>
      </c>
      <c r="F107" s="17">
        <v>48343</v>
      </c>
      <c r="G107" s="19" t="s">
        <v>20</v>
      </c>
      <c r="H107" s="20">
        <v>7.4999999999999997E-3</v>
      </c>
      <c r="I107" s="16">
        <v>6547777.7800000003</v>
      </c>
      <c r="J107" s="16">
        <v>552222.22</v>
      </c>
      <c r="K107" s="16">
        <v>0</v>
      </c>
      <c r="L107" s="16">
        <f t="shared" si="49"/>
        <v>5995555.5600000005</v>
      </c>
      <c r="M107" s="16">
        <v>302293.2</v>
      </c>
      <c r="N107" s="16">
        <v>14629.33</v>
      </c>
      <c r="O107" s="16">
        <f t="shared" si="48"/>
        <v>1104444.4399999995</v>
      </c>
      <c r="P107" s="8" t="s">
        <v>105</v>
      </c>
      <c r="Q107" s="16">
        <v>552222.22</v>
      </c>
      <c r="R107" s="16">
        <v>552222.22</v>
      </c>
      <c r="S107" s="16">
        <v>552222.22</v>
      </c>
      <c r="T107" s="16">
        <v>552222.22</v>
      </c>
      <c r="U107" s="16">
        <v>552222.22</v>
      </c>
      <c r="V107" s="16">
        <v>552222.22</v>
      </c>
      <c r="W107" s="16">
        <v>552222.22</v>
      </c>
      <c r="X107" s="16">
        <v>2130000.02</v>
      </c>
      <c r="Y107" s="16"/>
      <c r="AH107" s="6"/>
      <c r="AI107" s="7"/>
    </row>
    <row r="108" spans="2:35" ht="15" customHeight="1" x14ac:dyDescent="0.25">
      <c r="B108" s="95"/>
      <c r="C108" s="9" t="s">
        <v>28</v>
      </c>
      <c r="D108" s="16">
        <v>7100000</v>
      </c>
      <c r="E108" s="17">
        <v>44690</v>
      </c>
      <c r="F108" s="17">
        <v>48343</v>
      </c>
      <c r="G108" s="19" t="s">
        <v>20</v>
      </c>
      <c r="H108" s="20">
        <v>7.4999999999999997E-3</v>
      </c>
      <c r="I108" s="16">
        <v>6547777.7800000003</v>
      </c>
      <c r="J108" s="16">
        <v>552222.22</v>
      </c>
      <c r="K108" s="16">
        <v>0</v>
      </c>
      <c r="L108" s="16">
        <f t="shared" si="49"/>
        <v>5995555.5600000005</v>
      </c>
      <c r="M108" s="16">
        <v>302293.2</v>
      </c>
      <c r="N108" s="16">
        <v>14629.33</v>
      </c>
      <c r="O108" s="16">
        <f t="shared" si="48"/>
        <v>1104444.4399999995</v>
      </c>
      <c r="P108" s="8" t="s">
        <v>105</v>
      </c>
      <c r="Q108" s="16">
        <v>552222.22</v>
      </c>
      <c r="R108" s="16">
        <v>552222.22</v>
      </c>
      <c r="S108" s="16">
        <v>552222.22</v>
      </c>
      <c r="T108" s="16">
        <v>552222.22</v>
      </c>
      <c r="U108" s="16">
        <v>552222.22</v>
      </c>
      <c r="V108" s="16">
        <v>552222.22</v>
      </c>
      <c r="W108" s="16">
        <v>552222.22</v>
      </c>
      <c r="X108" s="16">
        <v>2130000.02</v>
      </c>
      <c r="Y108" s="16"/>
      <c r="AH108" s="6"/>
      <c r="AI108" s="7"/>
    </row>
    <row r="109" spans="2:35" ht="15.75" customHeight="1" x14ac:dyDescent="0.25">
      <c r="B109" s="23"/>
      <c r="C109" s="24" t="s">
        <v>46</v>
      </c>
      <c r="D109" s="25">
        <f>SUM(D94:D108)</f>
        <v>174721000</v>
      </c>
      <c r="E109" s="23"/>
      <c r="F109" s="50"/>
      <c r="G109" s="51"/>
      <c r="H109" s="52"/>
      <c r="I109" s="33">
        <f t="shared" ref="I109:O109" si="50">SUM(I94:I108)</f>
        <v>133680440.94</v>
      </c>
      <c r="J109" s="33">
        <f t="shared" si="50"/>
        <v>20048453.859999999</v>
      </c>
      <c r="K109" s="33">
        <f t="shared" si="50"/>
        <v>20000000</v>
      </c>
      <c r="L109" s="33">
        <f t="shared" si="50"/>
        <v>133631987.08</v>
      </c>
      <c r="M109" s="33">
        <f t="shared" si="50"/>
        <v>6492739.9800000004</v>
      </c>
      <c r="N109" s="33">
        <f t="shared" si="50"/>
        <v>735291.13584799995</v>
      </c>
      <c r="O109" s="33">
        <f t="shared" si="50"/>
        <v>41089012.919999994</v>
      </c>
      <c r="P109" s="23"/>
      <c r="Q109" s="33">
        <f t="shared" ref="Q109:Z109" si="51">SUM(Q94:Q108)</f>
        <v>7845842.5899999999</v>
      </c>
      <c r="R109" s="33">
        <f t="shared" si="51"/>
        <v>67874330.659999996</v>
      </c>
      <c r="S109" s="33">
        <f t="shared" si="51"/>
        <v>7901095.4799999995</v>
      </c>
      <c r="T109" s="33">
        <f t="shared" si="51"/>
        <v>10197557.670000002</v>
      </c>
      <c r="U109" s="33">
        <f t="shared" si="51"/>
        <v>7334636.7199999988</v>
      </c>
      <c r="V109" s="33">
        <f t="shared" si="51"/>
        <v>12028079.48</v>
      </c>
      <c r="W109" s="33">
        <f t="shared" si="51"/>
        <v>6950444.4399999995</v>
      </c>
      <c r="X109" s="33">
        <f t="shared" si="51"/>
        <v>7220000.0399999991</v>
      </c>
      <c r="Y109" s="33">
        <f t="shared" si="51"/>
        <v>4280000</v>
      </c>
      <c r="Z109" s="33">
        <f t="shared" si="51"/>
        <v>2000000</v>
      </c>
      <c r="AA109" s="25"/>
      <c r="AB109" s="25"/>
      <c r="AC109" s="25"/>
      <c r="AD109" s="25"/>
      <c r="AE109" s="25"/>
      <c r="AF109" s="25"/>
      <c r="AG109" s="25"/>
      <c r="AH109" s="6"/>
      <c r="AI109" s="7"/>
    </row>
    <row r="110" spans="2:35" ht="15" customHeight="1" x14ac:dyDescent="0.25">
      <c r="B110" s="89" t="s">
        <v>68</v>
      </c>
      <c r="C110" s="9" t="s">
        <v>23</v>
      </c>
      <c r="D110" s="16">
        <v>5000000</v>
      </c>
      <c r="E110" s="17">
        <v>43915</v>
      </c>
      <c r="F110" s="17">
        <v>49393</v>
      </c>
      <c r="G110" s="92" t="s">
        <v>132</v>
      </c>
      <c r="H110" s="92"/>
      <c r="I110" s="16">
        <v>3947368.9500000104</v>
      </c>
      <c r="J110" s="16">
        <v>350877.24000000005</v>
      </c>
      <c r="K110" s="16">
        <v>0</v>
      </c>
      <c r="L110" s="16">
        <f t="shared" si="49"/>
        <v>3596491.7100000102</v>
      </c>
      <c r="M110" s="16">
        <v>38497.406068333454</v>
      </c>
      <c r="N110" s="16">
        <v>240</v>
      </c>
      <c r="O110" s="16">
        <f t="shared" si="48"/>
        <v>1403508.2899999898</v>
      </c>
      <c r="P110" s="8" t="s">
        <v>106</v>
      </c>
      <c r="Q110" s="16">
        <v>350877.24000000005</v>
      </c>
      <c r="R110" s="16">
        <v>350877.24000000005</v>
      </c>
      <c r="S110" s="16">
        <v>350877.24000000005</v>
      </c>
      <c r="T110" s="16">
        <v>350877.24000000005</v>
      </c>
      <c r="U110" s="16">
        <v>350877.24000000005</v>
      </c>
      <c r="V110" s="16">
        <v>350877.24000000005</v>
      </c>
      <c r="W110" s="16">
        <v>350877.24000000005</v>
      </c>
      <c r="X110" s="16">
        <v>350877.24000000005</v>
      </c>
      <c r="Y110" s="16">
        <v>350877.24000000005</v>
      </c>
      <c r="Z110" s="16">
        <v>350877.24000000005</v>
      </c>
      <c r="AA110" s="16">
        <v>87719.31</v>
      </c>
      <c r="AB110" s="16"/>
      <c r="AC110" s="16"/>
      <c r="AH110" s="6"/>
      <c r="AI110" s="7"/>
    </row>
    <row r="111" spans="2:35" ht="15" customHeight="1" x14ac:dyDescent="0.25">
      <c r="B111" s="90"/>
      <c r="C111" s="9" t="s">
        <v>23</v>
      </c>
      <c r="D111" s="16">
        <v>8520000</v>
      </c>
      <c r="E111" s="17">
        <v>44334</v>
      </c>
      <c r="F111" s="17">
        <v>49813</v>
      </c>
      <c r="G111" s="92" t="s">
        <v>133</v>
      </c>
      <c r="H111" s="92"/>
      <c r="I111" s="16">
        <v>7338035.4369942239</v>
      </c>
      <c r="J111" s="16">
        <v>590982.71895953757</v>
      </c>
      <c r="K111" s="16">
        <v>0</v>
      </c>
      <c r="L111" s="16">
        <f t="shared" si="49"/>
        <v>6747052.7180346865</v>
      </c>
      <c r="M111" s="16">
        <v>67899.112769101397</v>
      </c>
      <c r="N111" s="16">
        <v>240</v>
      </c>
      <c r="O111" s="16">
        <f t="shared" si="48"/>
        <v>1772947.2819653135</v>
      </c>
      <c r="P111" s="8" t="s">
        <v>107</v>
      </c>
      <c r="Q111" s="16">
        <v>590982.71895953757</v>
      </c>
      <c r="R111" s="16">
        <v>590982.71895953757</v>
      </c>
      <c r="S111" s="16">
        <v>590982.71895953757</v>
      </c>
      <c r="T111" s="16">
        <v>590982.71895953757</v>
      </c>
      <c r="U111" s="16">
        <v>590982.71895953757</v>
      </c>
      <c r="V111" s="16">
        <v>590982.71895953757</v>
      </c>
      <c r="W111" s="16">
        <v>590982.71895953757</v>
      </c>
      <c r="X111" s="16">
        <v>590982.71895953757</v>
      </c>
      <c r="Y111" s="16">
        <v>590982.71895953757</v>
      </c>
      <c r="Z111" s="16">
        <v>590982.71895953757</v>
      </c>
      <c r="AA111" s="16">
        <v>590982.71895953757</v>
      </c>
      <c r="AB111" s="16">
        <v>246242.80456647399</v>
      </c>
      <c r="AC111" s="16"/>
      <c r="AH111" s="6"/>
      <c r="AI111" s="7"/>
    </row>
    <row r="112" spans="2:35" ht="15" customHeight="1" x14ac:dyDescent="0.25">
      <c r="B112" s="90"/>
      <c r="C112" s="9" t="s">
        <v>28</v>
      </c>
      <c r="D112" s="16">
        <v>4600000</v>
      </c>
      <c r="E112" s="17">
        <v>44686</v>
      </c>
      <c r="F112" s="17">
        <v>50165</v>
      </c>
      <c r="G112" s="92" t="s">
        <v>134</v>
      </c>
      <c r="H112" s="92"/>
      <c r="I112" s="16">
        <v>3153319.39</v>
      </c>
      <c r="J112" s="16">
        <v>235029.9800000001</v>
      </c>
      <c r="K112" s="16">
        <v>0</v>
      </c>
      <c r="L112" s="16">
        <f t="shared" si="49"/>
        <v>2918289.41</v>
      </c>
      <c r="M112" s="16">
        <v>79577.779839044408</v>
      </c>
      <c r="N112" s="16">
        <v>121.99999999999999</v>
      </c>
      <c r="O112" s="16">
        <f t="shared" si="48"/>
        <v>1681710.5899999999</v>
      </c>
      <c r="P112" s="8" t="s">
        <v>115</v>
      </c>
      <c r="Q112" s="16">
        <v>235029.96000000008</v>
      </c>
      <c r="R112" s="16">
        <v>235029.96000000008</v>
      </c>
      <c r="S112" s="16">
        <v>235029.96000000008</v>
      </c>
      <c r="T112" s="16">
        <v>235029.96000000008</v>
      </c>
      <c r="U112" s="16">
        <v>235029.96000000008</v>
      </c>
      <c r="V112" s="16">
        <v>235029.96000000008</v>
      </c>
      <c r="W112" s="16">
        <v>235029.96000000008</v>
      </c>
      <c r="X112" s="16">
        <v>235029.96000000008</v>
      </c>
      <c r="Y112" s="16">
        <v>235029.96000000008</v>
      </c>
      <c r="Z112" s="16">
        <v>235029.96000000008</v>
      </c>
      <c r="AA112" s="16">
        <v>235029.96000000008</v>
      </c>
      <c r="AB112" s="16">
        <v>235029.96000000008</v>
      </c>
      <c r="AC112" s="16">
        <v>97929.91</v>
      </c>
      <c r="AH112" s="6"/>
      <c r="AI112" s="7"/>
    </row>
    <row r="113" spans="2:35" ht="15" customHeight="1" x14ac:dyDescent="0.25">
      <c r="B113" s="90"/>
      <c r="C113" s="9" t="s">
        <v>25</v>
      </c>
      <c r="D113" s="16">
        <v>200000</v>
      </c>
      <c r="E113" s="17">
        <v>40906</v>
      </c>
      <c r="F113" s="17">
        <v>46388</v>
      </c>
      <c r="G113" s="19" t="s">
        <v>20</v>
      </c>
      <c r="H113" s="20">
        <v>0.02</v>
      </c>
      <c r="I113" s="16">
        <v>55353.882678262504</v>
      </c>
      <c r="J113" s="16">
        <v>16859.725239845036</v>
      </c>
      <c r="K113" s="16">
        <v>0</v>
      </c>
      <c r="L113" s="16">
        <f t="shared" si="49"/>
        <v>38494.157438417467</v>
      </c>
      <c r="M113" s="16">
        <v>2833.5330553298772</v>
      </c>
      <c r="N113" s="16">
        <v>240</v>
      </c>
      <c r="O113" s="16">
        <f t="shared" si="48"/>
        <v>161505.84256158254</v>
      </c>
      <c r="P113" s="8"/>
      <c r="Q113" s="16">
        <v>18024.852059688172</v>
      </c>
      <c r="R113" s="16">
        <v>18859.292237766247</v>
      </c>
      <c r="S113" s="16">
        <v>1610.0131409630505</v>
      </c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H113" s="6"/>
      <c r="AI113" s="7"/>
    </row>
    <row r="114" spans="2:35" ht="15" customHeight="1" x14ac:dyDescent="0.25">
      <c r="B114" s="90"/>
      <c r="C114" s="9" t="s">
        <v>42</v>
      </c>
      <c r="D114" s="16">
        <v>4000000</v>
      </c>
      <c r="E114" s="17">
        <v>45068</v>
      </c>
      <c r="F114" s="17">
        <v>47625</v>
      </c>
      <c r="G114" s="19" t="s">
        <v>35</v>
      </c>
      <c r="H114" s="20">
        <v>6.4000000000000003E-3</v>
      </c>
      <c r="I114" s="16">
        <v>4000000</v>
      </c>
      <c r="J114" s="16">
        <v>623376.6</v>
      </c>
      <c r="K114" s="16">
        <v>0</v>
      </c>
      <c r="L114" s="16">
        <f t="shared" si="49"/>
        <v>3376623.4</v>
      </c>
      <c r="M114" s="16">
        <v>165187.91360248107</v>
      </c>
      <c r="N114" s="16">
        <v>0</v>
      </c>
      <c r="O114" s="16">
        <f t="shared" si="48"/>
        <v>623376.60000000009</v>
      </c>
      <c r="P114" s="8" t="s">
        <v>123</v>
      </c>
      <c r="Q114" s="16">
        <v>623376.6</v>
      </c>
      <c r="R114" s="16">
        <v>623376.6</v>
      </c>
      <c r="S114" s="16">
        <v>623376.6</v>
      </c>
      <c r="T114" s="16">
        <v>623376.6</v>
      </c>
      <c r="U114" s="16">
        <v>623376.6</v>
      </c>
      <c r="V114" s="16">
        <v>259740.40000000002</v>
      </c>
      <c r="W114" s="16"/>
      <c r="X114" s="16"/>
      <c r="Y114" s="16"/>
      <c r="Z114" s="16"/>
      <c r="AA114" s="16"/>
      <c r="AB114" s="16"/>
      <c r="AC114" s="16"/>
      <c r="AH114" s="6"/>
      <c r="AI114" s="7"/>
    </row>
    <row r="115" spans="2:35" ht="15" customHeight="1" x14ac:dyDescent="0.25">
      <c r="B115" s="90"/>
      <c r="C115" s="9" t="s">
        <v>28</v>
      </c>
      <c r="D115" s="16">
        <v>1700000</v>
      </c>
      <c r="E115" s="17">
        <v>45065</v>
      </c>
      <c r="F115" s="17">
        <v>48718</v>
      </c>
      <c r="G115" s="19" t="s">
        <v>54</v>
      </c>
      <c r="H115" s="20">
        <v>8.0000000000000002E-3</v>
      </c>
      <c r="I115" s="16">
        <v>1700000</v>
      </c>
      <c r="J115" s="16">
        <v>180531</v>
      </c>
      <c r="K115" s="16">
        <v>0</v>
      </c>
      <c r="L115" s="16">
        <f t="shared" si="49"/>
        <v>1519469</v>
      </c>
      <c r="M115" s="16">
        <v>72829.745008618047</v>
      </c>
      <c r="N115" s="16">
        <v>1150.9808841666666</v>
      </c>
      <c r="O115" s="16">
        <f t="shared" si="48"/>
        <v>180531</v>
      </c>
      <c r="P115" s="8" t="s">
        <v>124</v>
      </c>
      <c r="Q115" s="16">
        <v>180531</v>
      </c>
      <c r="R115" s="16">
        <v>180531</v>
      </c>
      <c r="S115" s="16">
        <v>180531</v>
      </c>
      <c r="T115" s="16">
        <v>180531</v>
      </c>
      <c r="U115" s="16">
        <v>180531</v>
      </c>
      <c r="V115" s="16">
        <v>180531</v>
      </c>
      <c r="W115" s="16">
        <v>180531</v>
      </c>
      <c r="X115" s="16">
        <v>180531</v>
      </c>
      <c r="Y115" s="16">
        <v>75221</v>
      </c>
      <c r="Z115" s="16"/>
      <c r="AA115" s="16"/>
      <c r="AB115" s="16"/>
      <c r="AC115" s="16"/>
      <c r="AH115" s="6"/>
      <c r="AI115" s="7"/>
    </row>
    <row r="116" spans="2:35" ht="15" customHeight="1" x14ac:dyDescent="0.25">
      <c r="B116" s="90"/>
      <c r="C116" s="9" t="s">
        <v>22</v>
      </c>
      <c r="D116" s="16">
        <v>1500000</v>
      </c>
      <c r="E116" s="17">
        <v>39280</v>
      </c>
      <c r="F116" s="17">
        <v>48412</v>
      </c>
      <c r="G116" s="19" t="s">
        <v>54</v>
      </c>
      <c r="H116" s="20">
        <v>2.75E-2</v>
      </c>
      <c r="I116" s="16">
        <v>626257.45092461747</v>
      </c>
      <c r="J116" s="16">
        <v>56454.564985334997</v>
      </c>
      <c r="K116" s="16">
        <v>0</v>
      </c>
      <c r="L116" s="16">
        <f t="shared" si="49"/>
        <v>569802.88593928248</v>
      </c>
      <c r="M116" s="16">
        <v>38806.326506357858</v>
      </c>
      <c r="N116" s="16">
        <v>0</v>
      </c>
      <c r="O116" s="16">
        <f t="shared" si="48"/>
        <v>930197.11406071752</v>
      </c>
      <c r="P116" s="8"/>
      <c r="Q116" s="16">
        <v>62445.214237914348</v>
      </c>
      <c r="R116" s="16">
        <v>66035.071712324716</v>
      </c>
      <c r="S116" s="16">
        <v>69666.280249923118</v>
      </c>
      <c r="T116" s="16">
        <v>73497.165642586799</v>
      </c>
      <c r="U116" s="16">
        <v>77538.707938978856</v>
      </c>
      <c r="V116" s="16">
        <v>81802.490970652565</v>
      </c>
      <c r="W116" s="16">
        <v>86300.735553523395</v>
      </c>
      <c r="X116" s="16">
        <v>52517.219633378787</v>
      </c>
      <c r="Y116" s="16"/>
      <c r="Z116" s="16"/>
      <c r="AA116" s="16"/>
      <c r="AB116" s="16"/>
      <c r="AC116" s="16"/>
      <c r="AH116" s="6"/>
      <c r="AI116" s="7"/>
    </row>
    <row r="117" spans="2:35" ht="15" customHeight="1" x14ac:dyDescent="0.25">
      <c r="B117" s="91"/>
      <c r="C117" s="9" t="s">
        <v>45</v>
      </c>
      <c r="D117" s="16">
        <v>2000000</v>
      </c>
      <c r="E117" s="17">
        <v>45467</v>
      </c>
      <c r="F117" s="17">
        <v>48023</v>
      </c>
      <c r="G117" s="19" t="s">
        <v>20</v>
      </c>
      <c r="H117" s="20">
        <v>6.0000000000000001E-3</v>
      </c>
      <c r="I117" s="16"/>
      <c r="J117" s="16">
        <v>0</v>
      </c>
      <c r="K117" s="16">
        <v>2000000</v>
      </c>
      <c r="L117" s="16">
        <f t="shared" si="49"/>
        <v>2000000</v>
      </c>
      <c r="M117" s="16">
        <v>25408.041666666664</v>
      </c>
      <c r="N117" s="16">
        <v>5000</v>
      </c>
      <c r="O117" s="16">
        <f t="shared" si="48"/>
        <v>0</v>
      </c>
      <c r="P117" s="8" t="s">
        <v>161</v>
      </c>
      <c r="Q117" s="16">
        <v>307692.24</v>
      </c>
      <c r="R117" s="16">
        <v>307692.24</v>
      </c>
      <c r="S117" s="16">
        <v>307692.24</v>
      </c>
      <c r="T117" s="16">
        <v>307692.24</v>
      </c>
      <c r="U117" s="16">
        <v>307692.24</v>
      </c>
      <c r="V117" s="16">
        <v>307692.24</v>
      </c>
      <c r="W117" s="16">
        <v>153846.56</v>
      </c>
      <c r="X117" s="16"/>
      <c r="Y117" s="16"/>
      <c r="Z117" s="16"/>
      <c r="AA117" s="16"/>
      <c r="AB117" s="16"/>
      <c r="AC117" s="16"/>
      <c r="AH117" s="6"/>
      <c r="AI117" s="7"/>
    </row>
    <row r="118" spans="2:35" ht="15.75" customHeight="1" x14ac:dyDescent="0.25">
      <c r="B118" s="23"/>
      <c r="C118" s="24" t="s">
        <v>46</v>
      </c>
      <c r="D118" s="25">
        <f>SUM(D110:D117)</f>
        <v>27520000</v>
      </c>
      <c r="E118" s="23"/>
      <c r="F118" s="50"/>
      <c r="G118" s="51"/>
      <c r="H118" s="52"/>
      <c r="I118" s="33">
        <f>SUM(I110:I117)</f>
        <v>20820335.110597115</v>
      </c>
      <c r="J118" s="33">
        <f t="shared" ref="J118:O118" si="52">SUM(J110:J117)</f>
        <v>2054111.8291847177</v>
      </c>
      <c r="K118" s="33">
        <f t="shared" si="52"/>
        <v>2000000</v>
      </c>
      <c r="L118" s="33">
        <f t="shared" si="52"/>
        <v>20766223.281412397</v>
      </c>
      <c r="M118" s="33">
        <f t="shared" si="52"/>
        <v>491039.85851593281</v>
      </c>
      <c r="N118" s="33">
        <f t="shared" si="52"/>
        <v>6992.9808841666663</v>
      </c>
      <c r="O118" s="33">
        <f t="shared" si="52"/>
        <v>6753776.7185876025</v>
      </c>
      <c r="P118" s="23"/>
      <c r="Q118" s="33">
        <f t="shared" ref="Q118:AC118" si="53">SUM(Q110:Q117)</f>
        <v>2368959.8252571402</v>
      </c>
      <c r="R118" s="33">
        <f t="shared" si="53"/>
        <v>2373384.1229096283</v>
      </c>
      <c r="S118" s="33">
        <f t="shared" si="53"/>
        <v>2359766.0523504233</v>
      </c>
      <c r="T118" s="33">
        <f t="shared" si="53"/>
        <v>2361986.9246021244</v>
      </c>
      <c r="U118" s="33">
        <f t="shared" si="53"/>
        <v>2366028.4668985168</v>
      </c>
      <c r="V118" s="33">
        <f t="shared" si="53"/>
        <v>2006656.04993019</v>
      </c>
      <c r="W118" s="33">
        <f t="shared" si="53"/>
        <v>1597568.2145130609</v>
      </c>
      <c r="X118" s="33">
        <f t="shared" si="53"/>
        <v>1409938.1385929163</v>
      </c>
      <c r="Y118" s="33">
        <f t="shared" si="53"/>
        <v>1252110.9189595375</v>
      </c>
      <c r="Z118" s="33">
        <f t="shared" si="53"/>
        <v>1176889.9189595375</v>
      </c>
      <c r="AA118" s="33">
        <f t="shared" si="53"/>
        <v>913731.9889595377</v>
      </c>
      <c r="AB118" s="33">
        <f t="shared" si="53"/>
        <v>481272.76456647407</v>
      </c>
      <c r="AC118" s="33">
        <f t="shared" si="53"/>
        <v>97929.91</v>
      </c>
      <c r="AD118" s="33"/>
      <c r="AE118" s="33"/>
      <c r="AF118" s="33"/>
      <c r="AG118" s="33"/>
      <c r="AH118" s="6"/>
      <c r="AI118" s="7"/>
    </row>
    <row r="119" spans="2:35" ht="15" customHeight="1" x14ac:dyDescent="0.25">
      <c r="B119" s="89" t="s">
        <v>69</v>
      </c>
      <c r="C119" s="9" t="s">
        <v>23</v>
      </c>
      <c r="D119" s="16">
        <v>40000000</v>
      </c>
      <c r="E119" s="17">
        <v>42416</v>
      </c>
      <c r="F119" s="17">
        <v>46069</v>
      </c>
      <c r="G119" s="86" t="s">
        <v>20</v>
      </c>
      <c r="H119" s="20">
        <v>1.7500000000000002E-2</v>
      </c>
      <c r="I119" s="16">
        <v>10000000</v>
      </c>
      <c r="J119" s="16">
        <v>4000000</v>
      </c>
      <c r="K119" s="16">
        <v>0</v>
      </c>
      <c r="L119" s="16">
        <f t="shared" si="49"/>
        <v>6000000</v>
      </c>
      <c r="M119" s="16">
        <v>415671</v>
      </c>
      <c r="N119" s="16">
        <v>60711.17</v>
      </c>
      <c r="O119" s="16">
        <f t="shared" si="48"/>
        <v>34000000</v>
      </c>
      <c r="P119" s="8"/>
      <c r="Q119" s="16">
        <v>4000000</v>
      </c>
      <c r="R119" s="16">
        <v>2000000</v>
      </c>
      <c r="S119" s="16"/>
      <c r="T119" s="16"/>
      <c r="U119" s="16"/>
      <c r="V119" s="16"/>
      <c r="W119" s="16"/>
      <c r="X119" s="16"/>
      <c r="Y119" s="16"/>
      <c r="Z119" s="16"/>
      <c r="AA119" s="16"/>
      <c r="AH119" s="6"/>
      <c r="AI119" s="7"/>
    </row>
    <row r="120" spans="2:35" ht="15" customHeight="1" x14ac:dyDescent="0.25">
      <c r="B120" s="90"/>
      <c r="C120" s="9" t="s">
        <v>22</v>
      </c>
      <c r="D120" s="16">
        <v>7500000</v>
      </c>
      <c r="E120" s="17">
        <v>43700</v>
      </c>
      <c r="F120" s="17">
        <v>47353</v>
      </c>
      <c r="G120" s="54" t="s">
        <v>21</v>
      </c>
      <c r="H120" s="20">
        <v>1.2200000000000001E-2</v>
      </c>
      <c r="I120" s="16">
        <v>5625000</v>
      </c>
      <c r="J120" s="16">
        <v>937500</v>
      </c>
      <c r="K120" s="16">
        <v>0</v>
      </c>
      <c r="L120" s="16">
        <f t="shared" si="49"/>
        <v>4687500</v>
      </c>
      <c r="M120" s="16">
        <v>264280.21000000002</v>
      </c>
      <c r="N120" s="16">
        <v>15831.26</v>
      </c>
      <c r="O120" s="16">
        <f t="shared" si="48"/>
        <v>2812500</v>
      </c>
      <c r="P120" s="8"/>
      <c r="Q120" s="16">
        <v>937500</v>
      </c>
      <c r="R120" s="16">
        <v>937500</v>
      </c>
      <c r="S120" s="16">
        <v>937500</v>
      </c>
      <c r="T120" s="16">
        <v>937500</v>
      </c>
      <c r="U120" s="16">
        <v>937500</v>
      </c>
      <c r="V120" s="16"/>
      <c r="W120" s="16"/>
      <c r="X120" s="16"/>
      <c r="Y120" s="16"/>
      <c r="Z120" s="16"/>
      <c r="AA120" s="16"/>
      <c r="AH120" s="6"/>
      <c r="AI120" s="7"/>
    </row>
    <row r="121" spans="2:35" ht="15" customHeight="1" x14ac:dyDescent="0.25">
      <c r="B121" s="90"/>
      <c r="C121" s="9" t="s">
        <v>28</v>
      </c>
      <c r="D121" s="16">
        <v>7500000</v>
      </c>
      <c r="E121" s="17">
        <v>43773</v>
      </c>
      <c r="F121" s="17">
        <v>47242</v>
      </c>
      <c r="G121" s="54" t="s">
        <v>21</v>
      </c>
      <c r="H121" s="20">
        <v>1.0999999999999999E-2</v>
      </c>
      <c r="I121" s="16">
        <v>5625000</v>
      </c>
      <c r="J121" s="16">
        <v>937500</v>
      </c>
      <c r="K121" s="16">
        <v>0</v>
      </c>
      <c r="L121" s="16">
        <f t="shared" si="49"/>
        <v>4687500</v>
      </c>
      <c r="M121" s="16">
        <v>262838.40999999997</v>
      </c>
      <c r="N121" s="16">
        <v>21182.35</v>
      </c>
      <c r="O121" s="16">
        <f t="shared" si="48"/>
        <v>2812500</v>
      </c>
      <c r="P121" s="8"/>
      <c r="Q121" s="16">
        <v>937500</v>
      </c>
      <c r="R121" s="16">
        <v>937500</v>
      </c>
      <c r="S121" s="16">
        <v>937500</v>
      </c>
      <c r="T121" s="16">
        <v>937500</v>
      </c>
      <c r="U121" s="16">
        <v>937500</v>
      </c>
      <c r="V121" s="16"/>
      <c r="W121" s="16"/>
      <c r="X121" s="16"/>
      <c r="Y121" s="16"/>
      <c r="Z121" s="16"/>
      <c r="AA121" s="16"/>
      <c r="AH121" s="6"/>
      <c r="AI121" s="7"/>
    </row>
    <row r="122" spans="2:35" ht="15" customHeight="1" x14ac:dyDescent="0.25">
      <c r="B122" s="90"/>
      <c r="C122" s="9" t="s">
        <v>40</v>
      </c>
      <c r="D122" s="16">
        <v>20000000</v>
      </c>
      <c r="E122" s="17">
        <v>45077</v>
      </c>
      <c r="F122" s="17">
        <v>47999</v>
      </c>
      <c r="G122" s="54" t="s">
        <v>20</v>
      </c>
      <c r="H122" s="20">
        <v>0.01</v>
      </c>
      <c r="I122" s="16">
        <v>20000000</v>
      </c>
      <c r="J122" s="16">
        <v>2666666.66</v>
      </c>
      <c r="K122" s="16"/>
      <c r="L122" s="16">
        <f t="shared" si="49"/>
        <v>17333333.34</v>
      </c>
      <c r="M122" s="16">
        <v>946623.37</v>
      </c>
      <c r="N122" s="16">
        <v>37864.94</v>
      </c>
      <c r="O122" s="16">
        <f t="shared" si="48"/>
        <v>2666666.66</v>
      </c>
      <c r="P122" s="8"/>
      <c r="Q122" s="16">
        <v>2666666.66</v>
      </c>
      <c r="R122" s="16">
        <v>2666666.66</v>
      </c>
      <c r="S122" s="16">
        <v>2666666.66</v>
      </c>
      <c r="T122" s="16">
        <v>2666666.66</v>
      </c>
      <c r="U122" s="16">
        <v>2666666.66</v>
      </c>
      <c r="V122" s="16">
        <v>2666666.66</v>
      </c>
      <c r="W122" s="16">
        <v>1333333.33</v>
      </c>
      <c r="X122" s="16"/>
      <c r="Y122" s="16"/>
      <c r="Z122" s="16"/>
      <c r="AA122" s="16"/>
      <c r="AH122" s="6"/>
      <c r="AI122" s="7"/>
    </row>
    <row r="123" spans="2:35" ht="15" customHeight="1" x14ac:dyDescent="0.25">
      <c r="B123" s="90"/>
      <c r="C123" s="9" t="s">
        <v>111</v>
      </c>
      <c r="D123" s="16">
        <v>15000000</v>
      </c>
      <c r="E123" s="17">
        <v>40451</v>
      </c>
      <c r="F123" s="17">
        <v>45550</v>
      </c>
      <c r="G123" s="92">
        <v>1.115E-2</v>
      </c>
      <c r="H123" s="92"/>
      <c r="I123" s="16">
        <v>1363636.4</v>
      </c>
      <c r="J123" s="16">
        <v>1363636.36</v>
      </c>
      <c r="K123" s="16">
        <v>0</v>
      </c>
      <c r="L123" s="16">
        <f t="shared" si="49"/>
        <v>3.9999999804422259E-2</v>
      </c>
      <c r="M123" s="16">
        <v>10727.65</v>
      </c>
      <c r="N123" s="16">
        <v>10260.939999999689</v>
      </c>
      <c r="O123" s="16">
        <f t="shared" si="48"/>
        <v>14999999.960000001</v>
      </c>
      <c r="P123" s="8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H123" s="6"/>
      <c r="AI123" s="7"/>
    </row>
    <row r="124" spans="2:35" ht="15" customHeight="1" x14ac:dyDescent="0.25">
      <c r="B124" s="90"/>
      <c r="C124" s="9" t="s">
        <v>111</v>
      </c>
      <c r="D124" s="16">
        <v>6000000</v>
      </c>
      <c r="E124" s="17">
        <v>41239</v>
      </c>
      <c r="F124" s="17">
        <v>45550</v>
      </c>
      <c r="G124" s="54" t="s">
        <v>20</v>
      </c>
      <c r="H124" s="20">
        <v>8.2100000000000003E-3</v>
      </c>
      <c r="I124" s="16">
        <v>545454.5</v>
      </c>
      <c r="J124" s="16">
        <v>545454.55000000005</v>
      </c>
      <c r="K124" s="16">
        <v>0</v>
      </c>
      <c r="L124" s="16">
        <f t="shared" si="49"/>
        <v>-5.0000000046566129E-2</v>
      </c>
      <c r="M124" s="16">
        <v>18614.919999999998</v>
      </c>
      <c r="N124" s="16">
        <v>4116.8599999999997</v>
      </c>
      <c r="O124" s="16">
        <f t="shared" si="48"/>
        <v>6000000.0499999998</v>
      </c>
      <c r="P124" s="8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H124" s="6"/>
      <c r="AI124" s="7"/>
    </row>
    <row r="125" spans="2:35" ht="15" customHeight="1" x14ac:dyDescent="0.25">
      <c r="B125" s="90"/>
      <c r="C125" s="9" t="s">
        <v>111</v>
      </c>
      <c r="D125" s="16">
        <v>30000000</v>
      </c>
      <c r="E125" s="17">
        <v>41941</v>
      </c>
      <c r="F125" s="17">
        <v>48516</v>
      </c>
      <c r="G125" s="92">
        <v>1.332E-2</v>
      </c>
      <c r="H125" s="92"/>
      <c r="I125" s="16">
        <v>19285714.300000001</v>
      </c>
      <c r="J125" s="16">
        <v>2142857.14</v>
      </c>
      <c r="K125" s="16">
        <v>0</v>
      </c>
      <c r="L125" s="16">
        <f t="shared" si="49"/>
        <v>17142857.16</v>
      </c>
      <c r="M125" s="16">
        <v>244675.72</v>
      </c>
      <c r="N125" s="16">
        <v>114226.91</v>
      </c>
      <c r="O125" s="16">
        <f t="shared" si="48"/>
        <v>12857142.84</v>
      </c>
      <c r="P125" s="8" t="s">
        <v>112</v>
      </c>
      <c r="Q125" s="16">
        <v>2142857.14</v>
      </c>
      <c r="R125" s="16">
        <v>2142857.14</v>
      </c>
      <c r="S125" s="16">
        <v>2142857.14</v>
      </c>
      <c r="T125" s="16">
        <v>2142857.14</v>
      </c>
      <c r="U125" s="16">
        <v>2142857.14</v>
      </c>
      <c r="V125" s="16">
        <v>2142857.14</v>
      </c>
      <c r="W125" s="16">
        <v>2142857.14</v>
      </c>
      <c r="X125" s="16">
        <v>2142857.14</v>
      </c>
      <c r="Y125" s="16"/>
      <c r="Z125" s="16"/>
      <c r="AA125" s="16"/>
      <c r="AH125" s="6"/>
      <c r="AI125" s="7"/>
    </row>
    <row r="126" spans="2:35" ht="15" customHeight="1" x14ac:dyDescent="0.25">
      <c r="B126" s="90"/>
      <c r="C126" s="9" t="s">
        <v>111</v>
      </c>
      <c r="D126" s="16">
        <v>4500000</v>
      </c>
      <c r="E126" s="17">
        <v>42854</v>
      </c>
      <c r="F126" s="17">
        <v>49428</v>
      </c>
      <c r="G126" s="92">
        <v>1.5800000000000002E-2</v>
      </c>
      <c r="H126" s="92"/>
      <c r="I126" s="16">
        <v>3696428.55</v>
      </c>
      <c r="J126" s="16">
        <v>321428.58</v>
      </c>
      <c r="K126" s="16">
        <v>0</v>
      </c>
      <c r="L126" s="16">
        <f t="shared" si="49"/>
        <v>3374999.9699999997</v>
      </c>
      <c r="M126" s="16">
        <v>56174.64</v>
      </c>
      <c r="N126" s="16">
        <v>14063.02</v>
      </c>
      <c r="O126" s="16">
        <f t="shared" si="48"/>
        <v>1125000.0300000003</v>
      </c>
      <c r="P126" s="8" t="s">
        <v>112</v>
      </c>
      <c r="Q126" s="16">
        <v>321428.58</v>
      </c>
      <c r="R126" s="16">
        <v>321428.58</v>
      </c>
      <c r="S126" s="16">
        <v>321428.58</v>
      </c>
      <c r="T126" s="16">
        <v>321428.58</v>
      </c>
      <c r="U126" s="16">
        <v>321428.58</v>
      </c>
      <c r="V126" s="16">
        <v>321428.58</v>
      </c>
      <c r="W126" s="16">
        <v>321428.58</v>
      </c>
      <c r="X126" s="16">
        <v>321428.58</v>
      </c>
      <c r="Y126" s="16">
        <v>321428.58</v>
      </c>
      <c r="Z126" s="16">
        <v>321428.58</v>
      </c>
      <c r="AA126" s="16">
        <v>160714.29</v>
      </c>
      <c r="AH126" s="6"/>
      <c r="AI126" s="7"/>
    </row>
    <row r="127" spans="2:35" ht="15" customHeight="1" x14ac:dyDescent="0.25">
      <c r="B127" s="90"/>
      <c r="C127" s="9" t="s">
        <v>23</v>
      </c>
      <c r="D127" s="16">
        <v>20000000</v>
      </c>
      <c r="E127" s="17">
        <v>43675</v>
      </c>
      <c r="F127" s="17">
        <v>47328</v>
      </c>
      <c r="G127" s="92">
        <v>1.0800000000000001E-2</v>
      </c>
      <c r="H127" s="92"/>
      <c r="I127" s="16">
        <v>15000000</v>
      </c>
      <c r="J127" s="16">
        <v>2500000</v>
      </c>
      <c r="K127" s="16">
        <v>0</v>
      </c>
      <c r="L127" s="16">
        <f t="shared" si="49"/>
        <v>12500000</v>
      </c>
      <c r="M127" s="16">
        <v>143850</v>
      </c>
      <c r="N127" s="16">
        <v>24732.35</v>
      </c>
      <c r="O127" s="16">
        <f t="shared" si="48"/>
        <v>7500000</v>
      </c>
      <c r="P127" s="8"/>
      <c r="Q127" s="16">
        <v>2500000</v>
      </c>
      <c r="R127" s="16">
        <v>2500000</v>
      </c>
      <c r="S127" s="16">
        <v>2500000</v>
      </c>
      <c r="T127" s="16">
        <v>2500000</v>
      </c>
      <c r="U127" s="16">
        <v>2500000</v>
      </c>
      <c r="V127" s="16"/>
      <c r="W127" s="16"/>
      <c r="X127" s="16"/>
      <c r="Y127" s="16"/>
      <c r="Z127" s="16"/>
      <c r="AA127" s="16"/>
      <c r="AH127" s="6"/>
      <c r="AI127" s="7"/>
    </row>
    <row r="128" spans="2:35" ht="15" customHeight="1" x14ac:dyDescent="0.25">
      <c r="B128" s="90"/>
      <c r="C128" s="9" t="s">
        <v>109</v>
      </c>
      <c r="D128" s="16">
        <v>20000000</v>
      </c>
      <c r="E128" s="17">
        <v>43671</v>
      </c>
      <c r="F128" s="17">
        <v>47324</v>
      </c>
      <c r="G128" s="92">
        <v>1.0999999999999999E-2</v>
      </c>
      <c r="H128" s="92"/>
      <c r="I128" s="16">
        <v>15000000</v>
      </c>
      <c r="J128" s="16">
        <v>2500000</v>
      </c>
      <c r="K128" s="16">
        <v>0</v>
      </c>
      <c r="L128" s="16">
        <f t="shared" si="49"/>
        <v>12500000</v>
      </c>
      <c r="M128" s="16">
        <v>146208.32999999999</v>
      </c>
      <c r="N128" s="16">
        <v>28602.059999999998</v>
      </c>
      <c r="O128" s="16">
        <f t="shared" si="48"/>
        <v>7500000</v>
      </c>
      <c r="P128" s="8"/>
      <c r="Q128" s="16">
        <v>2500000</v>
      </c>
      <c r="R128" s="16">
        <v>2500000</v>
      </c>
      <c r="S128" s="16">
        <v>2500000</v>
      </c>
      <c r="T128" s="16">
        <v>2500000</v>
      </c>
      <c r="U128" s="16">
        <v>2500000</v>
      </c>
      <c r="V128" s="16"/>
      <c r="W128" s="16"/>
      <c r="X128" s="16"/>
      <c r="Y128" s="16"/>
      <c r="Z128" s="16"/>
      <c r="AA128" s="16"/>
      <c r="AH128" s="6"/>
      <c r="AI128" s="7"/>
    </row>
    <row r="129" spans="2:35" ht="15" customHeight="1" x14ac:dyDescent="0.25">
      <c r="B129" s="90"/>
      <c r="C129" s="9" t="s">
        <v>110</v>
      </c>
      <c r="D129" s="16">
        <v>25000000</v>
      </c>
      <c r="E129" s="17">
        <v>44628</v>
      </c>
      <c r="F129" s="17">
        <v>48281</v>
      </c>
      <c r="G129" s="92">
        <v>1.5559999999999999E-2</v>
      </c>
      <c r="H129" s="92"/>
      <c r="I129" s="16">
        <v>21250000</v>
      </c>
      <c r="J129" s="16">
        <v>2500000</v>
      </c>
      <c r="K129" s="16">
        <v>0</v>
      </c>
      <c r="L129" s="16">
        <f t="shared" si="49"/>
        <v>18750000</v>
      </c>
      <c r="M129" s="16">
        <v>313847.36</v>
      </c>
      <c r="N129" s="16">
        <v>22942.73</v>
      </c>
      <c r="O129" s="16">
        <f t="shared" si="48"/>
        <v>6250000</v>
      </c>
      <c r="P129" s="8"/>
      <c r="Q129" s="16">
        <v>2500000</v>
      </c>
      <c r="R129" s="16">
        <v>2500000</v>
      </c>
      <c r="S129" s="16">
        <v>2500000</v>
      </c>
      <c r="T129" s="16">
        <v>2500000</v>
      </c>
      <c r="U129" s="16">
        <v>2500000</v>
      </c>
      <c r="V129" s="16">
        <v>2500000</v>
      </c>
      <c r="W129" s="16">
        <v>2500000</v>
      </c>
      <c r="X129" s="16">
        <v>1250000</v>
      </c>
      <c r="Y129" s="16"/>
      <c r="Z129" s="16"/>
      <c r="AA129" s="16"/>
      <c r="AH129" s="6"/>
      <c r="AI129" s="7"/>
    </row>
    <row r="130" spans="2:35" ht="15" customHeight="1" x14ac:dyDescent="0.25">
      <c r="B130" s="90"/>
      <c r="C130" s="9" t="s">
        <v>57</v>
      </c>
      <c r="D130" s="16">
        <v>30000000</v>
      </c>
      <c r="E130" s="17">
        <v>44894</v>
      </c>
      <c r="F130" s="17">
        <v>47086</v>
      </c>
      <c r="G130" s="92">
        <v>2.895E-2</v>
      </c>
      <c r="H130" s="92"/>
      <c r="I130" s="16">
        <v>25000000</v>
      </c>
      <c r="J130" s="16">
        <v>5000000</v>
      </c>
      <c r="K130" s="16">
        <v>0</v>
      </c>
      <c r="L130" s="16">
        <f t="shared" si="49"/>
        <v>20000000</v>
      </c>
      <c r="M130" s="16">
        <v>710883.34</v>
      </c>
      <c r="N130" s="16">
        <v>26797.93</v>
      </c>
      <c r="O130" s="16">
        <f t="shared" si="48"/>
        <v>10000000</v>
      </c>
      <c r="P130" s="8"/>
      <c r="Q130" s="16">
        <v>5000000</v>
      </c>
      <c r="R130" s="16">
        <v>5000000</v>
      </c>
      <c r="S130" s="16">
        <v>5000000</v>
      </c>
      <c r="T130" s="16">
        <v>5000000</v>
      </c>
      <c r="U130" s="16"/>
      <c r="V130" s="16"/>
      <c r="W130" s="16"/>
      <c r="X130" s="16"/>
      <c r="Y130" s="16"/>
      <c r="Z130" s="16"/>
      <c r="AA130" s="16"/>
      <c r="AH130" s="6"/>
      <c r="AI130" s="7"/>
    </row>
    <row r="131" spans="2:35" ht="15" customHeight="1" x14ac:dyDescent="0.25">
      <c r="B131" s="90"/>
      <c r="C131" s="9" t="s">
        <v>22</v>
      </c>
      <c r="D131" s="16">
        <v>40000000</v>
      </c>
      <c r="E131" s="17">
        <v>45602</v>
      </c>
      <c r="F131" s="17">
        <v>48158</v>
      </c>
      <c r="G131" s="54" t="s">
        <v>21</v>
      </c>
      <c r="H131" s="85">
        <v>7.4999999999999997E-3</v>
      </c>
      <c r="I131" s="16"/>
      <c r="J131" s="16"/>
      <c r="K131" s="16"/>
      <c r="L131" s="16">
        <v>40000000</v>
      </c>
      <c r="M131" s="16">
        <v>211057.78</v>
      </c>
      <c r="N131" s="16">
        <v>394.64</v>
      </c>
      <c r="O131" s="16">
        <v>0</v>
      </c>
      <c r="P131" s="8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H131" s="6"/>
      <c r="AI131" s="7"/>
    </row>
    <row r="132" spans="2:35" ht="15" customHeight="1" x14ac:dyDescent="0.25">
      <c r="B132" s="90"/>
      <c r="C132" s="9" t="s">
        <v>23</v>
      </c>
      <c r="D132" s="16">
        <v>20000000</v>
      </c>
      <c r="E132" s="17">
        <v>45613</v>
      </c>
      <c r="F132" s="17">
        <v>47439</v>
      </c>
      <c r="G132" s="54" t="s">
        <v>20</v>
      </c>
      <c r="H132" s="20">
        <v>1.75E-3</v>
      </c>
      <c r="I132" s="16">
        <v>16000000</v>
      </c>
      <c r="J132" s="16"/>
      <c r="K132" s="16"/>
      <c r="L132" s="16">
        <v>10000000</v>
      </c>
      <c r="M132" s="16">
        <v>535009.15999999992</v>
      </c>
      <c r="N132" s="16">
        <v>121515.22</v>
      </c>
      <c r="O132" s="16">
        <v>0</v>
      </c>
      <c r="P132" s="8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H132" s="6"/>
      <c r="AI132" s="7"/>
    </row>
    <row r="133" spans="2:35" ht="15" customHeight="1" x14ac:dyDescent="0.25">
      <c r="B133" s="90"/>
      <c r="C133" s="9" t="s">
        <v>24</v>
      </c>
      <c r="D133" s="16">
        <v>50000000</v>
      </c>
      <c r="E133" s="17">
        <v>44511</v>
      </c>
      <c r="F133" s="17">
        <v>46337</v>
      </c>
      <c r="G133" s="54" t="s">
        <v>20</v>
      </c>
      <c r="H133" s="20">
        <v>9.7999999999999997E-3</v>
      </c>
      <c r="I133" s="16">
        <v>40000000</v>
      </c>
      <c r="J133" s="16"/>
      <c r="K133" s="16"/>
      <c r="L133" s="16">
        <v>50000000</v>
      </c>
      <c r="M133" s="16">
        <v>1668441.6699999997</v>
      </c>
      <c r="N133" s="16">
        <v>292180.00000000006</v>
      </c>
      <c r="O133" s="16">
        <v>0</v>
      </c>
      <c r="P133" s="8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H133" s="6"/>
      <c r="AI133" s="7"/>
    </row>
    <row r="134" spans="2:35" ht="15" customHeight="1" x14ac:dyDescent="0.25">
      <c r="B134" s="90"/>
      <c r="C134" s="9" t="s">
        <v>34</v>
      </c>
      <c r="D134" s="16">
        <v>25000000</v>
      </c>
      <c r="E134" s="17">
        <v>44564</v>
      </c>
      <c r="F134" s="17">
        <v>45660</v>
      </c>
      <c r="G134" s="54" t="s">
        <v>20</v>
      </c>
      <c r="H134" s="20">
        <v>7.0000000000000001E-3</v>
      </c>
      <c r="I134" s="16">
        <v>25000000</v>
      </c>
      <c r="J134" s="16"/>
      <c r="K134" s="16"/>
      <c r="L134" s="16">
        <v>0</v>
      </c>
      <c r="M134" s="16">
        <v>291006.94</v>
      </c>
      <c r="N134" s="16">
        <v>71333.34</v>
      </c>
      <c r="O134" s="16">
        <v>0</v>
      </c>
      <c r="P134" s="8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H134" s="6"/>
      <c r="AI134" s="7"/>
    </row>
    <row r="135" spans="2:35" ht="15" customHeight="1" x14ac:dyDescent="0.25">
      <c r="B135" s="90"/>
      <c r="C135" s="9" t="s">
        <v>37</v>
      </c>
      <c r="D135" s="16">
        <v>10000000</v>
      </c>
      <c r="E135" s="17">
        <v>45457</v>
      </c>
      <c r="F135" s="17">
        <v>47283</v>
      </c>
      <c r="G135" s="54" t="s">
        <v>20</v>
      </c>
      <c r="H135" s="20">
        <v>5.4999999999999997E-3</v>
      </c>
      <c r="I135" s="16">
        <v>10000000</v>
      </c>
      <c r="J135" s="16"/>
      <c r="K135" s="16"/>
      <c r="L135" s="16">
        <v>10000000</v>
      </c>
      <c r="M135" s="16">
        <v>398466.66000000003</v>
      </c>
      <c r="N135" s="16">
        <v>3963.6400000000003</v>
      </c>
      <c r="O135" s="16">
        <v>0</v>
      </c>
      <c r="P135" s="8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H135" s="6"/>
      <c r="AI135" s="7"/>
    </row>
    <row r="136" spans="2:35" ht="15" customHeight="1" x14ac:dyDescent="0.25">
      <c r="B136" s="90"/>
      <c r="C136" s="9" t="s">
        <v>40</v>
      </c>
      <c r="D136" s="16">
        <v>25000000</v>
      </c>
      <c r="E136" s="17">
        <v>44505</v>
      </c>
      <c r="F136" s="17">
        <v>46361</v>
      </c>
      <c r="G136" s="54" t="s">
        <v>20</v>
      </c>
      <c r="H136" s="20">
        <v>0.01</v>
      </c>
      <c r="I136" s="16">
        <v>20000000</v>
      </c>
      <c r="J136" s="16"/>
      <c r="K136" s="16"/>
      <c r="L136" s="16">
        <v>25000000</v>
      </c>
      <c r="M136" s="16">
        <v>989972.22</v>
      </c>
      <c r="N136" s="16">
        <v>104755.56</v>
      </c>
      <c r="O136" s="16">
        <v>0</v>
      </c>
      <c r="P136" s="8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H136" s="6"/>
      <c r="AI136" s="7"/>
    </row>
    <row r="137" spans="2:35" ht="15" customHeight="1" x14ac:dyDescent="0.25">
      <c r="B137" s="90"/>
      <c r="C137" s="9" t="s">
        <v>126</v>
      </c>
      <c r="D137" s="16">
        <v>20000000</v>
      </c>
      <c r="E137" s="17">
        <v>45216</v>
      </c>
      <c r="F137" s="17">
        <v>48138</v>
      </c>
      <c r="G137" s="92">
        <v>4.2549999999999998E-2</v>
      </c>
      <c r="H137" s="92"/>
      <c r="I137" s="16">
        <v>20000000</v>
      </c>
      <c r="J137" s="16">
        <v>0</v>
      </c>
      <c r="K137" s="16"/>
      <c r="L137" s="16">
        <v>20000000</v>
      </c>
      <c r="M137" s="16">
        <v>858091.66</v>
      </c>
      <c r="N137" s="16">
        <v>47500.75</v>
      </c>
      <c r="O137" s="16">
        <v>0</v>
      </c>
      <c r="P137" s="8"/>
      <c r="Q137" s="16"/>
      <c r="R137" s="16">
        <v>1818181.82</v>
      </c>
      <c r="S137" s="16">
        <v>3636363.64</v>
      </c>
      <c r="T137" s="16">
        <v>3636363.64</v>
      </c>
      <c r="U137" s="16">
        <v>3636363.64</v>
      </c>
      <c r="V137" s="16">
        <v>3636363.64</v>
      </c>
      <c r="W137" s="16">
        <v>3636363.64</v>
      </c>
      <c r="X137" s="16"/>
      <c r="Y137" s="16"/>
      <c r="Z137" s="16"/>
      <c r="AA137" s="16"/>
      <c r="AH137" s="6"/>
      <c r="AI137" s="7"/>
    </row>
    <row r="138" spans="2:35" ht="15" customHeight="1" x14ac:dyDescent="0.25">
      <c r="B138" s="91"/>
      <c r="C138" s="9" t="s">
        <v>23</v>
      </c>
      <c r="D138" s="16">
        <v>50000000</v>
      </c>
      <c r="E138" s="17">
        <v>45275</v>
      </c>
      <c r="F138" s="17">
        <v>48928</v>
      </c>
      <c r="G138" s="54" t="s">
        <v>20</v>
      </c>
      <c r="H138" s="20">
        <v>9.75E-3</v>
      </c>
      <c r="I138" s="16">
        <v>50000000</v>
      </c>
      <c r="J138" s="16">
        <v>0</v>
      </c>
      <c r="K138" s="16"/>
      <c r="L138" s="16">
        <v>50000000</v>
      </c>
      <c r="M138" s="16">
        <v>2425936.12</v>
      </c>
      <c r="N138" s="16">
        <v>315601.71000000002</v>
      </c>
      <c r="O138" s="16">
        <v>0</v>
      </c>
      <c r="P138" s="8"/>
      <c r="Q138" s="16">
        <v>5560000</v>
      </c>
      <c r="R138" s="16">
        <v>5560000</v>
      </c>
      <c r="S138" s="16">
        <v>5560000</v>
      </c>
      <c r="T138" s="16">
        <v>5560000</v>
      </c>
      <c r="U138" s="16">
        <v>5560000</v>
      </c>
      <c r="V138" s="16">
        <v>5560000</v>
      </c>
      <c r="W138" s="16">
        <v>5560000</v>
      </c>
      <c r="X138" s="16">
        <v>5560000</v>
      </c>
      <c r="Y138" s="16">
        <v>5520000</v>
      </c>
      <c r="Z138" s="16"/>
      <c r="AA138" s="16"/>
      <c r="AH138" s="6"/>
      <c r="AI138" s="7"/>
    </row>
    <row r="139" spans="2:35" ht="15.75" customHeight="1" x14ac:dyDescent="0.25">
      <c r="B139" s="23"/>
      <c r="C139" s="24" t="s">
        <v>46</v>
      </c>
      <c r="D139" s="25">
        <f>SUM(D119:D138)</f>
        <v>465500000</v>
      </c>
      <c r="E139" s="23"/>
      <c r="F139" s="50"/>
      <c r="G139" s="51"/>
      <c r="H139" s="52"/>
      <c r="I139" s="25">
        <f t="shared" ref="I139:O139" si="54">SUM(I119:I138)</f>
        <v>323391233.75</v>
      </c>
      <c r="J139" s="25">
        <f t="shared" si="54"/>
        <v>25415043.289999999</v>
      </c>
      <c r="K139" s="25">
        <f t="shared" si="54"/>
        <v>0</v>
      </c>
      <c r="L139" s="25">
        <f t="shared" si="54"/>
        <v>321976190.45999998</v>
      </c>
      <c r="M139" s="25">
        <f t="shared" si="54"/>
        <v>10912377.16</v>
      </c>
      <c r="N139" s="25">
        <f t="shared" si="54"/>
        <v>1338577.3799999997</v>
      </c>
      <c r="O139" s="25">
        <f t="shared" si="54"/>
        <v>108523809.53999999</v>
      </c>
      <c r="P139" s="25"/>
      <c r="Q139" s="25">
        <f t="shared" ref="Q139:AA139" si="55">SUM(Q119:Q138)</f>
        <v>29065952.380000003</v>
      </c>
      <c r="R139" s="25">
        <f t="shared" si="55"/>
        <v>28884134.200000003</v>
      </c>
      <c r="S139" s="25">
        <f t="shared" si="55"/>
        <v>28702316.020000003</v>
      </c>
      <c r="T139" s="25">
        <f t="shared" si="55"/>
        <v>28702316.020000003</v>
      </c>
      <c r="U139" s="25">
        <f t="shared" si="55"/>
        <v>23702316.02</v>
      </c>
      <c r="V139" s="25">
        <f t="shared" si="55"/>
        <v>16827316.020000003</v>
      </c>
      <c r="W139" s="25">
        <f t="shared" si="55"/>
        <v>15493982.690000001</v>
      </c>
      <c r="X139" s="25">
        <f t="shared" si="55"/>
        <v>9274285.7200000007</v>
      </c>
      <c r="Y139" s="25">
        <f t="shared" si="55"/>
        <v>5841428.5800000001</v>
      </c>
      <c r="Z139" s="25">
        <f t="shared" si="55"/>
        <v>321428.58</v>
      </c>
      <c r="AA139" s="25">
        <f t="shared" si="55"/>
        <v>160714.29</v>
      </c>
      <c r="AB139" s="25"/>
      <c r="AC139" s="25"/>
      <c r="AD139" s="25"/>
      <c r="AE139" s="25"/>
      <c r="AF139" s="25"/>
      <c r="AG139" s="25"/>
      <c r="AH139" s="6"/>
      <c r="AI139" s="7"/>
    </row>
    <row r="140" spans="2:35" ht="15" customHeight="1" x14ac:dyDescent="0.25">
      <c r="B140" s="55" t="s">
        <v>70</v>
      </c>
      <c r="C140" s="9" t="s">
        <v>111</v>
      </c>
      <c r="D140" s="16">
        <v>6000000</v>
      </c>
      <c r="E140" s="17">
        <v>41239</v>
      </c>
      <c r="F140" s="17">
        <v>45550</v>
      </c>
      <c r="G140" s="54" t="s">
        <v>20</v>
      </c>
      <c r="H140" s="20">
        <v>8.2100000000000003E-3</v>
      </c>
      <c r="I140" s="16">
        <v>545454.5</v>
      </c>
      <c r="J140" s="16">
        <v>545454.55000000005</v>
      </c>
      <c r="K140" s="16"/>
      <c r="L140" s="16">
        <f t="shared" ref="L140:L142" si="56">I140-J140+K140</f>
        <v>-5.0000000046566129E-2</v>
      </c>
      <c r="M140" s="16">
        <v>18614.919999999998</v>
      </c>
      <c r="N140" s="16">
        <v>4137.66</v>
      </c>
      <c r="O140" s="16">
        <f t="shared" ref="O140" si="57">D140-L140</f>
        <v>6000000.0499999998</v>
      </c>
      <c r="P140" s="16"/>
      <c r="Q140" s="16"/>
      <c r="R140" s="9"/>
      <c r="S140" s="16"/>
      <c r="T140" s="16"/>
      <c r="U140" s="16"/>
      <c r="V140" s="16"/>
      <c r="W140" s="16"/>
      <c r="X140" s="16"/>
      <c r="Y140" s="16"/>
      <c r="Z140" s="16"/>
      <c r="AA140" s="16"/>
      <c r="AH140" s="6"/>
      <c r="AI140" s="7"/>
    </row>
    <row r="141" spans="2:35" ht="15.75" customHeight="1" x14ac:dyDescent="0.25">
      <c r="B141" s="23"/>
      <c r="C141" s="24" t="s">
        <v>46</v>
      </c>
      <c r="D141" s="25">
        <f>SUM(D140:D140)</f>
        <v>6000000</v>
      </c>
      <c r="E141" s="23"/>
      <c r="F141" s="50"/>
      <c r="G141" s="51"/>
      <c r="H141" s="52"/>
      <c r="I141" s="25">
        <f t="shared" ref="I141:O141" si="58">SUM(I140:I140)</f>
        <v>545454.5</v>
      </c>
      <c r="J141" s="25">
        <f t="shared" si="58"/>
        <v>545454.55000000005</v>
      </c>
      <c r="K141" s="25">
        <f t="shared" si="58"/>
        <v>0</v>
      </c>
      <c r="L141" s="25">
        <f t="shared" si="58"/>
        <v>-5.0000000046566129E-2</v>
      </c>
      <c r="M141" s="25">
        <f t="shared" si="58"/>
        <v>18614.919999999998</v>
      </c>
      <c r="N141" s="25">
        <f t="shared" si="58"/>
        <v>4137.66</v>
      </c>
      <c r="O141" s="25">
        <f t="shared" si="58"/>
        <v>6000000.0499999998</v>
      </c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6"/>
      <c r="AI141" s="7"/>
    </row>
    <row r="142" spans="2:35" ht="15" customHeight="1" x14ac:dyDescent="0.25">
      <c r="B142" s="55" t="s">
        <v>138</v>
      </c>
      <c r="C142" s="9" t="s">
        <v>42</v>
      </c>
      <c r="D142" s="16">
        <v>3708178</v>
      </c>
      <c r="E142" s="17">
        <v>43098</v>
      </c>
      <c r="F142" s="17">
        <v>45472</v>
      </c>
      <c r="G142" s="54" t="s">
        <v>21</v>
      </c>
      <c r="H142" s="20">
        <v>3.7499999999999999E-2</v>
      </c>
      <c r="I142" s="16">
        <v>314213</v>
      </c>
      <c r="J142" s="16">
        <v>314213</v>
      </c>
      <c r="K142" s="16">
        <v>0</v>
      </c>
      <c r="L142" s="16">
        <f t="shared" si="56"/>
        <v>0</v>
      </c>
      <c r="M142" s="16">
        <v>11893.24</v>
      </c>
      <c r="N142" s="16">
        <v>0</v>
      </c>
      <c r="O142" s="16">
        <f t="shared" ref="O142" si="59">D142-L142</f>
        <v>3708178</v>
      </c>
      <c r="P142" s="16"/>
      <c r="Q142" s="16"/>
      <c r="R142" s="9"/>
      <c r="S142" s="16"/>
      <c r="T142" s="16"/>
      <c r="U142" s="16"/>
      <c r="V142" s="16"/>
      <c r="W142" s="16"/>
      <c r="X142" s="16"/>
      <c r="Y142" s="16"/>
      <c r="Z142" s="16"/>
      <c r="AA142" s="16"/>
      <c r="AH142" s="6"/>
      <c r="AI142" s="7"/>
    </row>
    <row r="143" spans="2:35" ht="15.75" customHeight="1" x14ac:dyDescent="0.25">
      <c r="B143" s="23"/>
      <c r="C143" s="24" t="s">
        <v>46</v>
      </c>
      <c r="D143" s="25">
        <f>SUM(D142:D142)</f>
        <v>3708178</v>
      </c>
      <c r="E143" s="23"/>
      <c r="F143" s="50"/>
      <c r="G143" s="51"/>
      <c r="H143" s="52"/>
      <c r="I143" s="25">
        <f t="shared" ref="I143:O143" si="60">SUM(I142:I142)</f>
        <v>314213</v>
      </c>
      <c r="J143" s="25">
        <f t="shared" si="60"/>
        <v>314213</v>
      </c>
      <c r="K143" s="25">
        <f t="shared" si="60"/>
        <v>0</v>
      </c>
      <c r="L143" s="25">
        <f t="shared" si="60"/>
        <v>0</v>
      </c>
      <c r="M143" s="25">
        <f t="shared" si="60"/>
        <v>11893.24</v>
      </c>
      <c r="N143" s="25">
        <f t="shared" si="60"/>
        <v>0</v>
      </c>
      <c r="O143" s="25">
        <f t="shared" si="60"/>
        <v>3708178</v>
      </c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6"/>
      <c r="AI143" s="7"/>
    </row>
    <row r="144" spans="2:35" ht="15.75" customHeight="1" x14ac:dyDescent="0.25">
      <c r="B144" s="23"/>
      <c r="C144" s="24" t="s">
        <v>71</v>
      </c>
      <c r="D144" s="25">
        <f>D62+D65</f>
        <v>3497312313.2000003</v>
      </c>
      <c r="E144" s="23"/>
      <c r="F144" s="23"/>
      <c r="G144" s="25"/>
      <c r="H144" s="25"/>
      <c r="I144" s="25">
        <f t="shared" ref="I144:O144" si="61">I62+I65</f>
        <v>2864573868.5900011</v>
      </c>
      <c r="J144" s="25">
        <f t="shared" si="61"/>
        <v>96579532.76000002</v>
      </c>
      <c r="K144" s="25">
        <f t="shared" si="61"/>
        <v>0</v>
      </c>
      <c r="L144" s="25">
        <f t="shared" si="61"/>
        <v>2952994335.8299999</v>
      </c>
      <c r="M144" s="25">
        <f t="shared" si="61"/>
        <v>63856024.217499994</v>
      </c>
      <c r="N144" s="25">
        <f t="shared" si="61"/>
        <v>540231.01</v>
      </c>
      <c r="O144" s="25">
        <f t="shared" si="61"/>
        <v>544317977.37</v>
      </c>
      <c r="P144" s="25"/>
      <c r="Q144" s="25">
        <f t="shared" ref="Q144:AC144" si="62">Q62+Q65</f>
        <v>92329015.810000017</v>
      </c>
      <c r="R144" s="25">
        <f t="shared" si="62"/>
        <v>335936601.31999999</v>
      </c>
      <c r="S144" s="25">
        <f t="shared" si="62"/>
        <v>389877920.31000006</v>
      </c>
      <c r="T144" s="25">
        <f t="shared" si="62"/>
        <v>407033034.41000003</v>
      </c>
      <c r="U144" s="25">
        <f t="shared" si="62"/>
        <v>290211126.59000009</v>
      </c>
      <c r="V144" s="25">
        <f t="shared" si="62"/>
        <v>383586679.73999995</v>
      </c>
      <c r="W144" s="25">
        <f t="shared" si="62"/>
        <v>112803010.89</v>
      </c>
      <c r="X144" s="25">
        <f t="shared" si="62"/>
        <v>466873403.39999998</v>
      </c>
      <c r="Y144" s="25">
        <f t="shared" si="62"/>
        <v>27924358.340000004</v>
      </c>
      <c r="Z144" s="25">
        <f t="shared" si="62"/>
        <v>10929999.16</v>
      </c>
      <c r="AA144" s="25">
        <f t="shared" si="62"/>
        <v>190692.28999999998</v>
      </c>
      <c r="AB144" s="25">
        <f t="shared" si="62"/>
        <v>435193652.20999998</v>
      </c>
      <c r="AC144" s="25">
        <f t="shared" si="62"/>
        <v>104841.56</v>
      </c>
      <c r="AD144" s="25"/>
      <c r="AE144" s="25"/>
      <c r="AF144" s="25"/>
      <c r="AG144" s="25"/>
      <c r="AH144" s="6"/>
      <c r="AI144" s="6"/>
    </row>
    <row r="145" spans="2:35" ht="15.75" customHeight="1" x14ac:dyDescent="0.25">
      <c r="B145" s="23"/>
      <c r="C145" s="24" t="s">
        <v>72</v>
      </c>
      <c r="D145" s="25">
        <f>D67+D76+D78+D80</f>
        <v>24187330.280000001</v>
      </c>
      <c r="E145" s="23"/>
      <c r="F145" s="23"/>
      <c r="G145" s="25"/>
      <c r="H145" s="25"/>
      <c r="I145" s="25">
        <f t="shared" ref="I145:O145" si="63">I67+I76+I78+I80</f>
        <v>14707215.279999999</v>
      </c>
      <c r="J145" s="25">
        <f t="shared" si="63"/>
        <v>2718408.85</v>
      </c>
      <c r="K145" s="25">
        <f t="shared" si="63"/>
        <v>0</v>
      </c>
      <c r="L145" s="25">
        <f t="shared" si="63"/>
        <v>11988806.43</v>
      </c>
      <c r="M145" s="25">
        <f t="shared" si="63"/>
        <v>718809.55</v>
      </c>
      <c r="N145" s="25">
        <f t="shared" si="63"/>
        <v>34399.240000000005</v>
      </c>
      <c r="O145" s="25">
        <f t="shared" si="63"/>
        <v>12198523.85</v>
      </c>
      <c r="P145" s="25"/>
      <c r="Q145" s="25">
        <f t="shared" ref="Q145:AA145" si="64">Q67+Q76+Q78+Q80</f>
        <v>3809266.44</v>
      </c>
      <c r="R145" s="25">
        <f t="shared" si="64"/>
        <v>3100684.88</v>
      </c>
      <c r="S145" s="25">
        <f t="shared" si="64"/>
        <v>1969976.54</v>
      </c>
      <c r="T145" s="25">
        <f t="shared" si="64"/>
        <v>1317529.2</v>
      </c>
      <c r="U145" s="25">
        <f t="shared" si="64"/>
        <v>357796.64</v>
      </c>
      <c r="V145" s="25">
        <f t="shared" si="64"/>
        <v>278767.55</v>
      </c>
      <c r="W145" s="25">
        <f t="shared" si="64"/>
        <v>280938.75</v>
      </c>
      <c r="X145" s="25">
        <f t="shared" si="64"/>
        <v>218461.54</v>
      </c>
      <c r="Y145" s="25">
        <f t="shared" si="64"/>
        <v>218461.54</v>
      </c>
      <c r="Z145" s="25">
        <f t="shared" si="64"/>
        <v>218461.54</v>
      </c>
      <c r="AA145" s="25">
        <f t="shared" si="64"/>
        <v>218461.54</v>
      </c>
      <c r="AB145" s="25"/>
      <c r="AC145" s="25"/>
      <c r="AD145" s="25"/>
      <c r="AE145" s="25"/>
      <c r="AF145" s="25"/>
      <c r="AG145" s="25"/>
      <c r="AH145" s="6"/>
      <c r="AI145" s="6"/>
    </row>
    <row r="146" spans="2:35" ht="15.75" customHeight="1" x14ac:dyDescent="0.25">
      <c r="B146" s="23"/>
      <c r="C146" s="24" t="s">
        <v>73</v>
      </c>
      <c r="D146" s="25">
        <f>D91+D93+D109+D118+D139+D141+D85</f>
        <v>992267619.89999998</v>
      </c>
      <c r="E146" s="23"/>
      <c r="F146" s="23"/>
      <c r="G146" s="25"/>
      <c r="H146" s="25"/>
      <c r="I146" s="25">
        <f t="shared" ref="I146:O146" si="65">I91+I93+I109+I118+I139+I141+I85</f>
        <v>707180364.30059707</v>
      </c>
      <c r="J146" s="25">
        <f t="shared" si="65"/>
        <v>53833572.759184718</v>
      </c>
      <c r="K146" s="25">
        <f t="shared" si="65"/>
        <v>92000000</v>
      </c>
      <c r="L146" s="25">
        <f t="shared" si="65"/>
        <v>769346791.54141235</v>
      </c>
      <c r="M146" s="25">
        <f t="shared" si="65"/>
        <v>27601460.698515937</v>
      </c>
      <c r="N146" s="25">
        <f t="shared" si="65"/>
        <v>2264281.8467321666</v>
      </c>
      <c r="O146" s="25">
        <f t="shared" si="65"/>
        <v>187920828.35858762</v>
      </c>
      <c r="P146" s="25"/>
      <c r="Q146" s="25">
        <f t="shared" ref="Q146:AC146" si="66">Q91+Q93+Q109+Q118+Q139+Q141+Q85</f>
        <v>104725828.77258185</v>
      </c>
      <c r="R146" s="25">
        <f t="shared" si="66"/>
        <v>123682726.20563693</v>
      </c>
      <c r="S146" s="25">
        <f t="shared" si="66"/>
        <v>53852092.352350429</v>
      </c>
      <c r="T146" s="25">
        <f t="shared" si="66"/>
        <v>220330242.03460214</v>
      </c>
      <c r="U146" s="25">
        <f t="shared" si="66"/>
        <v>37659111.286898516</v>
      </c>
      <c r="V146" s="25">
        <f t="shared" si="66"/>
        <v>35625065.059930183</v>
      </c>
      <c r="W146" s="25">
        <f t="shared" si="66"/>
        <v>24041995.344513062</v>
      </c>
      <c r="X146" s="25">
        <f t="shared" si="66"/>
        <v>17904223.898592915</v>
      </c>
      <c r="Y146" s="25">
        <f t="shared" si="66"/>
        <v>11373539.498959538</v>
      </c>
      <c r="Z146" s="25">
        <f t="shared" si="66"/>
        <v>3498318.4989595376</v>
      </c>
      <c r="AA146" s="25">
        <f t="shared" si="66"/>
        <v>1074446.2789595376</v>
      </c>
      <c r="AB146" s="25">
        <f t="shared" si="66"/>
        <v>481272.76456647407</v>
      </c>
      <c r="AC146" s="25">
        <f t="shared" si="66"/>
        <v>97929.91</v>
      </c>
      <c r="AD146" s="25"/>
      <c r="AE146" s="25"/>
      <c r="AF146" s="25"/>
      <c r="AG146" s="25"/>
      <c r="AH146" s="6"/>
      <c r="AI146" s="6"/>
    </row>
    <row r="147" spans="2:35" ht="15.75" customHeight="1" x14ac:dyDescent="0.25">
      <c r="B147" s="23"/>
      <c r="C147" s="24" t="s">
        <v>135</v>
      </c>
      <c r="D147" s="25">
        <f>D143</f>
        <v>3708178</v>
      </c>
      <c r="E147" s="23"/>
      <c r="F147" s="23"/>
      <c r="G147" s="25"/>
      <c r="H147" s="25"/>
      <c r="I147" s="25">
        <f t="shared" ref="I147:O147" si="67">I143</f>
        <v>314213</v>
      </c>
      <c r="J147" s="25">
        <f t="shared" si="67"/>
        <v>314213</v>
      </c>
      <c r="K147" s="25">
        <f t="shared" si="67"/>
        <v>0</v>
      </c>
      <c r="L147" s="25">
        <f t="shared" si="67"/>
        <v>0</v>
      </c>
      <c r="M147" s="25">
        <f t="shared" si="67"/>
        <v>11893.24</v>
      </c>
      <c r="N147" s="25">
        <f t="shared" si="67"/>
        <v>0</v>
      </c>
      <c r="O147" s="25">
        <f t="shared" si="67"/>
        <v>3708178</v>
      </c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6"/>
      <c r="AI147" s="6"/>
    </row>
    <row r="148" spans="2:35" ht="15.75" customHeight="1" x14ac:dyDescent="0.25">
      <c r="B148" s="23"/>
      <c r="C148" s="24" t="s">
        <v>94</v>
      </c>
      <c r="D148" s="25">
        <f t="shared" ref="D148" si="68">D126+D125++D115+D114+D112+D111+D110+D108+D107+D106+D105+D104+D103+D102+D101++D100+D99+D98+D97+D96+D95+D94++D79+D77+D73+D72+D71+D70+D117+D84+D83+D82+D81</f>
        <v>453087000</v>
      </c>
      <c r="E148" s="23"/>
      <c r="F148" s="23"/>
      <c r="G148" s="25"/>
      <c r="H148" s="25"/>
      <c r="I148" s="25">
        <f>I126+I125++I115+I114+I112+I111+I110+I108+I107+I106+I105+I104+I103+I102+I101++I100+I99+I98+I97+I96+I95+I94++I79+I77+I73+I72+I71+I70+I117+I84+I83+I82+I81</f>
        <v>386962796.77699423</v>
      </c>
      <c r="J148" s="25">
        <f t="shared" ref="J148:AC148" si="69">J126+J125++J115+J114+J112+J111+J110+J108+J107+J106+J105+J104+J103+J102+J101++J100+J99+J98+J97+J96+J95+J94++J79+J77+J73+J72+J71+J70+J117+J84+J83+J82+J81</f>
        <v>27880819.728959542</v>
      </c>
      <c r="K148" s="25">
        <f t="shared" si="69"/>
        <v>22000000</v>
      </c>
      <c r="L148" s="25">
        <f t="shared" si="69"/>
        <v>381081977.04803467</v>
      </c>
      <c r="M148" s="25">
        <f t="shared" si="69"/>
        <v>15734633.698954243</v>
      </c>
      <c r="N148" s="25">
        <f t="shared" si="69"/>
        <v>1062434.2867321665</v>
      </c>
      <c r="O148" s="25">
        <f t="shared" si="69"/>
        <v>72005022.951965287</v>
      </c>
      <c r="P148" s="25"/>
      <c r="Q148" s="25">
        <f t="shared" si="69"/>
        <v>21576758.28895954</v>
      </c>
      <c r="R148" s="25">
        <f t="shared" si="69"/>
        <v>81418886.968959525</v>
      </c>
      <c r="S148" s="25">
        <f t="shared" si="69"/>
        <v>25296970.21895954</v>
      </c>
      <c r="T148" s="25">
        <f t="shared" si="69"/>
        <v>191049400.80895954</v>
      </c>
      <c r="U148" s="25">
        <f t="shared" si="69"/>
        <v>12226747.298959536</v>
      </c>
      <c r="V148" s="25">
        <f t="shared" si="69"/>
        <v>16477524.768959539</v>
      </c>
      <c r="W148" s="25">
        <f t="shared" si="69"/>
        <v>10988474.848959539</v>
      </c>
      <c r="X148" s="25">
        <f t="shared" si="69"/>
        <v>11041706.678959537</v>
      </c>
      <c r="Y148" s="25">
        <f t="shared" si="69"/>
        <v>5853539.4989595376</v>
      </c>
      <c r="Z148" s="25">
        <f t="shared" si="69"/>
        <v>3498318.4989595376</v>
      </c>
      <c r="AA148" s="25">
        <f t="shared" si="69"/>
        <v>1074446.2789595376</v>
      </c>
      <c r="AB148" s="25">
        <f t="shared" si="69"/>
        <v>481272.76456647407</v>
      </c>
      <c r="AC148" s="25">
        <f t="shared" si="69"/>
        <v>97929.91</v>
      </c>
      <c r="AD148" s="25"/>
      <c r="AE148" s="25"/>
      <c r="AF148" s="25"/>
      <c r="AG148" s="25"/>
      <c r="AH148" s="6"/>
      <c r="AI148" s="6"/>
    </row>
    <row r="149" spans="2:35" ht="15.75" customHeight="1" x14ac:dyDescent="0.25">
      <c r="B149" s="23"/>
      <c r="C149" s="24" t="s">
        <v>136</v>
      </c>
      <c r="D149" s="25">
        <f>D145+D146+D147</f>
        <v>1020163128.1799999</v>
      </c>
      <c r="E149" s="23"/>
      <c r="F149" s="50"/>
      <c r="G149" s="51"/>
      <c r="H149" s="52"/>
      <c r="I149" s="33">
        <f t="shared" ref="I149:O149" si="70">I145+I146+I147</f>
        <v>722201792.58059704</v>
      </c>
      <c r="J149" s="33">
        <f t="shared" si="70"/>
        <v>56866194.60918472</v>
      </c>
      <c r="K149" s="33">
        <f t="shared" si="70"/>
        <v>92000000</v>
      </c>
      <c r="L149" s="33">
        <f t="shared" si="70"/>
        <v>781335597.9714123</v>
      </c>
      <c r="M149" s="33">
        <f t="shared" si="70"/>
        <v>28332163.488515936</v>
      </c>
      <c r="N149" s="33">
        <f t="shared" si="70"/>
        <v>2298681.0867321668</v>
      </c>
      <c r="O149" s="33">
        <f t="shared" si="70"/>
        <v>203827530.20858762</v>
      </c>
      <c r="P149" s="33"/>
      <c r="Q149" s="33">
        <f t="shared" ref="Q149:AC149" si="71">Q145+Q146+Q147</f>
        <v>108535095.21258184</v>
      </c>
      <c r="R149" s="33">
        <f t="shared" si="71"/>
        <v>126783411.08563693</v>
      </c>
      <c r="S149" s="33">
        <f t="shared" si="71"/>
        <v>55822068.892350428</v>
      </c>
      <c r="T149" s="33">
        <f t="shared" si="71"/>
        <v>221647771.23460212</v>
      </c>
      <c r="U149" s="33">
        <f t="shared" si="71"/>
        <v>38016907.926898517</v>
      </c>
      <c r="V149" s="33">
        <f t="shared" si="71"/>
        <v>35903832.60993018</v>
      </c>
      <c r="W149" s="33">
        <f t="shared" si="71"/>
        <v>24322934.094513062</v>
      </c>
      <c r="X149" s="33">
        <f t="shared" si="71"/>
        <v>18122685.438592914</v>
      </c>
      <c r="Y149" s="33">
        <f t="shared" si="71"/>
        <v>11592001.038959537</v>
      </c>
      <c r="Z149" s="33">
        <f t="shared" si="71"/>
        <v>3716780.0389595376</v>
      </c>
      <c r="AA149" s="33">
        <f t="shared" si="71"/>
        <v>1292907.8189595377</v>
      </c>
      <c r="AB149" s="33">
        <f t="shared" si="71"/>
        <v>481272.76456647407</v>
      </c>
      <c r="AC149" s="33">
        <f t="shared" si="71"/>
        <v>97929.91</v>
      </c>
      <c r="AD149" s="33"/>
      <c r="AE149" s="33"/>
      <c r="AF149" s="33"/>
      <c r="AG149" s="33"/>
      <c r="AH149" s="6"/>
      <c r="AI149" s="6"/>
    </row>
    <row r="150" spans="2:35" ht="15.75" customHeight="1" x14ac:dyDescent="0.25">
      <c r="B150" s="23"/>
      <c r="C150" s="24" t="s">
        <v>137</v>
      </c>
      <c r="D150" s="25">
        <f>D149+D144</f>
        <v>4517475441.3800001</v>
      </c>
      <c r="E150" s="23"/>
      <c r="F150" s="23"/>
      <c r="G150" s="25"/>
      <c r="H150" s="25"/>
      <c r="I150" s="25">
        <f t="shared" ref="I150:O150" si="72">I149+I144</f>
        <v>3586775661.170598</v>
      </c>
      <c r="J150" s="25">
        <f t="shared" si="72"/>
        <v>153445727.36918473</v>
      </c>
      <c r="K150" s="25">
        <f t="shared" si="72"/>
        <v>92000000</v>
      </c>
      <c r="L150" s="25">
        <f t="shared" si="72"/>
        <v>3734329933.8014121</v>
      </c>
      <c r="M150" s="25">
        <f t="shared" si="72"/>
        <v>92188187.70601593</v>
      </c>
      <c r="N150" s="25">
        <f t="shared" si="72"/>
        <v>2838912.0967321666</v>
      </c>
      <c r="O150" s="25">
        <f t="shared" si="72"/>
        <v>748145507.57858765</v>
      </c>
      <c r="P150" s="25"/>
      <c r="Q150" s="25">
        <f t="shared" ref="Q150:AC150" si="73">Q149+Q144</f>
        <v>200864111.02258188</v>
      </c>
      <c r="R150" s="25">
        <f t="shared" si="73"/>
        <v>462720012.40563691</v>
      </c>
      <c r="S150" s="25">
        <f t="shared" si="73"/>
        <v>445699989.2023505</v>
      </c>
      <c r="T150" s="25">
        <f t="shared" si="73"/>
        <v>628680805.64460218</v>
      </c>
      <c r="U150" s="25">
        <f t="shared" si="73"/>
        <v>328228034.51689863</v>
      </c>
      <c r="V150" s="25">
        <f t="shared" si="73"/>
        <v>419490512.34993011</v>
      </c>
      <c r="W150" s="25">
        <f t="shared" si="73"/>
        <v>137125944.98451307</v>
      </c>
      <c r="X150" s="25">
        <f t="shared" si="73"/>
        <v>484996088.83859289</v>
      </c>
      <c r="Y150" s="25">
        <f t="shared" si="73"/>
        <v>39516359.378959537</v>
      </c>
      <c r="Z150" s="25">
        <f t="shared" si="73"/>
        <v>14646779.198959537</v>
      </c>
      <c r="AA150" s="25">
        <f t="shared" si="73"/>
        <v>1483600.1089595377</v>
      </c>
      <c r="AB150" s="25">
        <f t="shared" si="73"/>
        <v>435674924.97456646</v>
      </c>
      <c r="AC150" s="25">
        <f t="shared" si="73"/>
        <v>202771.47</v>
      </c>
      <c r="AD150" s="25"/>
      <c r="AE150" s="25"/>
      <c r="AF150" s="25"/>
      <c r="AG150" s="25"/>
      <c r="AH150" s="6"/>
      <c r="AI150" s="6"/>
    </row>
    <row r="151" spans="2:35" x14ac:dyDescent="0.25">
      <c r="B151" s="1" t="s">
        <v>74</v>
      </c>
      <c r="I151" s="6"/>
      <c r="L151" s="6"/>
      <c r="AH151" s="6"/>
    </row>
    <row r="152" spans="2:35" x14ac:dyDescent="0.25">
      <c r="B152" s="1" t="s">
        <v>139</v>
      </c>
      <c r="AH152" s="6"/>
    </row>
    <row r="153" spans="2:35" x14ac:dyDescent="0.25">
      <c r="L153" s="7"/>
      <c r="M153" s="7"/>
    </row>
    <row r="154" spans="2:35" x14ac:dyDescent="0.25">
      <c r="I154" s="7"/>
      <c r="J154" s="7"/>
      <c r="L154" s="7"/>
      <c r="M154" s="7"/>
    </row>
    <row r="155" spans="2:35" x14ac:dyDescent="0.25">
      <c r="D155" s="6"/>
      <c r="E155" s="1"/>
      <c r="F155" s="1"/>
      <c r="G155" s="1"/>
      <c r="H155" s="6"/>
      <c r="I155" s="7"/>
      <c r="L155" s="6"/>
    </row>
    <row r="156" spans="2:35" x14ac:dyDescent="0.25">
      <c r="D156" s="6"/>
      <c r="E156" s="1"/>
      <c r="F156" s="1"/>
      <c r="G156" s="1"/>
      <c r="H156" s="6"/>
      <c r="I156" s="7"/>
      <c r="L156" s="6"/>
    </row>
    <row r="157" spans="2:35" x14ac:dyDescent="0.25">
      <c r="D157" s="6"/>
      <c r="E157" s="1"/>
      <c r="F157" s="1"/>
      <c r="G157" s="1"/>
      <c r="H157" s="6"/>
      <c r="I157" s="7"/>
      <c r="L157" s="6"/>
    </row>
    <row r="159" spans="2:35" x14ac:dyDescent="0.25">
      <c r="I159" s="7"/>
    </row>
    <row r="160" spans="2:35" x14ac:dyDescent="0.25">
      <c r="D160" s="6"/>
    </row>
  </sheetData>
  <mergeCells count="64">
    <mergeCell ref="B110:B117"/>
    <mergeCell ref="P4:P5"/>
    <mergeCell ref="G25:H25"/>
    <mergeCell ref="O4:O5"/>
    <mergeCell ref="G6:H6"/>
    <mergeCell ref="G9:H9"/>
    <mergeCell ref="G12:H12"/>
    <mergeCell ref="G15:H15"/>
    <mergeCell ref="B63:B64"/>
    <mergeCell ref="G46:H46"/>
    <mergeCell ref="G63:H63"/>
    <mergeCell ref="G64:H64"/>
    <mergeCell ref="G61:H61"/>
    <mergeCell ref="B6:B61"/>
    <mergeCell ref="G23:H23"/>
    <mergeCell ref="G24:H24"/>
    <mergeCell ref="B2:AG2"/>
    <mergeCell ref="Q4:AG4"/>
    <mergeCell ref="B94:B108"/>
    <mergeCell ref="B86:B90"/>
    <mergeCell ref="J4:K4"/>
    <mergeCell ref="D4:D5"/>
    <mergeCell ref="L4:L5"/>
    <mergeCell ref="M4:M5"/>
    <mergeCell ref="G21:H21"/>
    <mergeCell ref="G22:H22"/>
    <mergeCell ref="B4:B5"/>
    <mergeCell ref="N4:N5"/>
    <mergeCell ref="I4:I5"/>
    <mergeCell ref="G4:H4"/>
    <mergeCell ref="C4:C5"/>
    <mergeCell ref="G41:H41"/>
    <mergeCell ref="E4:F4"/>
    <mergeCell ref="G28:H28"/>
    <mergeCell ref="G29:H29"/>
    <mergeCell ref="G30:H30"/>
    <mergeCell ref="G31:H31"/>
    <mergeCell ref="G32:H32"/>
    <mergeCell ref="G128:H128"/>
    <mergeCell ref="G130:H130"/>
    <mergeCell ref="G137:H137"/>
    <mergeCell ref="G111:H111"/>
    <mergeCell ref="G112:H112"/>
    <mergeCell ref="G129:H129"/>
    <mergeCell ref="G123:H123"/>
    <mergeCell ref="G125:H125"/>
    <mergeCell ref="G126:H126"/>
    <mergeCell ref="G89:H89"/>
    <mergeCell ref="B119:B138"/>
    <mergeCell ref="B81:B84"/>
    <mergeCell ref="G84:H84"/>
    <mergeCell ref="G83:H83"/>
    <mergeCell ref="G26:H26"/>
    <mergeCell ref="G33:H33"/>
    <mergeCell ref="B68:B75"/>
    <mergeCell ref="G110:H110"/>
    <mergeCell ref="G54:H54"/>
    <mergeCell ref="G55:H55"/>
    <mergeCell ref="G42:H42"/>
    <mergeCell ref="G43:H43"/>
    <mergeCell ref="G87:H87"/>
    <mergeCell ref="G88:H88"/>
    <mergeCell ref="G60:H60"/>
    <mergeCell ref="G127:H12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31" fitToHeight="2" orientation="landscape" r:id="rId1"/>
  <ignoredErrors>
    <ignoredError sqref="O65 O67 L67 L76 O76 L78:L80 O78:O80 L109:O109 L141:L142 L118 O93 O141:O142 O118 L85" formula="1"/>
    <ignoredError sqref="Q62:AC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72"/>
  <sheetViews>
    <sheetView showGridLines="0" tabSelected="1" zoomScaleNormal="100" workbookViewId="0">
      <pane ySplit="5" topLeftCell="A18" activePane="bottomLeft" state="frozen"/>
      <selection pane="bottomLeft" activeCell="L13" sqref="L13"/>
    </sheetView>
  </sheetViews>
  <sheetFormatPr defaultColWidth="9.140625" defaultRowHeight="12.75" x14ac:dyDescent="0.25"/>
  <cols>
    <col min="1" max="1" width="2.5703125" style="1" customWidth="1"/>
    <col min="2" max="2" width="25.140625" style="1" bestFit="1" customWidth="1"/>
    <col min="3" max="3" width="29.7109375" style="2" customWidth="1"/>
    <col min="4" max="4" width="11.28515625" style="1" customWidth="1"/>
    <col min="5" max="7" width="10.85546875" style="1" customWidth="1"/>
    <col min="8" max="8" width="10.85546875" style="56" customWidth="1"/>
    <col min="9" max="12" width="10.85546875" style="1" customWidth="1"/>
    <col min="13" max="14" width="11.7109375" style="1" customWidth="1"/>
    <col min="15" max="15" width="71" style="1" customWidth="1"/>
    <col min="16" max="16" width="9.140625" style="1"/>
    <col min="17" max="17" width="10" style="1" bestFit="1" customWidth="1"/>
    <col min="18" max="16384" width="9.140625" style="1"/>
  </cols>
  <sheetData>
    <row r="1" spans="2:17" x14ac:dyDescent="0.25">
      <c r="M1" s="6"/>
    </row>
    <row r="2" spans="2:17" ht="15" customHeight="1" x14ac:dyDescent="0.25">
      <c r="B2" s="98" t="s">
        <v>75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7" ht="13.5" thickBot="1" x14ac:dyDescent="0.3">
      <c r="K3" s="10"/>
      <c r="N3" s="10" t="s">
        <v>1</v>
      </c>
      <c r="O3" s="10"/>
    </row>
    <row r="4" spans="2:17" ht="35.1" customHeight="1" x14ac:dyDescent="0.25">
      <c r="B4" s="132" t="s">
        <v>2</v>
      </c>
      <c r="C4" s="102" t="s">
        <v>3</v>
      </c>
      <c r="D4" s="101" t="s">
        <v>4</v>
      </c>
      <c r="E4" s="97" t="s">
        <v>5</v>
      </c>
      <c r="F4" s="97"/>
      <c r="G4" s="109" t="s">
        <v>76</v>
      </c>
      <c r="H4" s="110"/>
      <c r="I4" s="101" t="s">
        <v>144</v>
      </c>
      <c r="J4" s="101" t="s">
        <v>147</v>
      </c>
      <c r="K4" s="101"/>
      <c r="L4" s="101" t="s">
        <v>145</v>
      </c>
      <c r="M4" s="101" t="s">
        <v>7</v>
      </c>
      <c r="N4" s="107" t="s">
        <v>8</v>
      </c>
      <c r="O4" s="124" t="s">
        <v>10</v>
      </c>
    </row>
    <row r="5" spans="2:17" ht="20.100000000000001" customHeight="1" thickBot="1" x14ac:dyDescent="0.3">
      <c r="B5" s="133"/>
      <c r="C5" s="134"/>
      <c r="D5" s="126"/>
      <c r="E5" s="58" t="s">
        <v>11</v>
      </c>
      <c r="F5" s="58" t="s">
        <v>12</v>
      </c>
      <c r="G5" s="58" t="s">
        <v>13</v>
      </c>
      <c r="H5" s="59" t="s">
        <v>14</v>
      </c>
      <c r="I5" s="104"/>
      <c r="J5" s="57" t="s">
        <v>15</v>
      </c>
      <c r="K5" s="57" t="s">
        <v>16</v>
      </c>
      <c r="L5" s="104"/>
      <c r="M5" s="126"/>
      <c r="N5" s="127"/>
      <c r="O5" s="125"/>
    </row>
    <row r="6" spans="2:17" s="76" customFormat="1" ht="15" customHeight="1" thickTop="1" x14ac:dyDescent="0.25">
      <c r="B6" s="128" t="s">
        <v>77</v>
      </c>
      <c r="C6" s="78" t="s">
        <v>78</v>
      </c>
      <c r="D6" s="79">
        <v>200000000</v>
      </c>
      <c r="E6" s="80">
        <v>43845</v>
      </c>
      <c r="F6" s="80">
        <v>45672</v>
      </c>
      <c r="G6" s="129" t="s">
        <v>79</v>
      </c>
      <c r="H6" s="129"/>
      <c r="I6" s="81">
        <v>0</v>
      </c>
      <c r="J6" s="79">
        <v>0</v>
      </c>
      <c r="K6" s="79">
        <v>0</v>
      </c>
      <c r="L6" s="81">
        <v>0</v>
      </c>
      <c r="M6" s="79">
        <v>0</v>
      </c>
      <c r="N6" s="79">
        <v>0</v>
      </c>
      <c r="O6" s="82"/>
    </row>
    <row r="7" spans="2:17" s="76" customFormat="1" ht="15" customHeight="1" x14ac:dyDescent="0.25">
      <c r="B7" s="128"/>
      <c r="C7" s="78" t="s">
        <v>23</v>
      </c>
      <c r="D7" s="79">
        <v>75000000</v>
      </c>
      <c r="E7" s="80">
        <v>44981</v>
      </c>
      <c r="F7" s="80">
        <v>45657</v>
      </c>
      <c r="G7" s="74" t="s">
        <v>21</v>
      </c>
      <c r="H7" s="75">
        <v>4.0000000000000001E-3</v>
      </c>
      <c r="I7" s="81">
        <v>0</v>
      </c>
      <c r="J7" s="79">
        <v>7500000</v>
      </c>
      <c r="K7" s="79">
        <v>82500000</v>
      </c>
      <c r="L7" s="79">
        <f>+K7-J7</f>
        <v>75000000</v>
      </c>
      <c r="M7" s="79">
        <v>1173602.05</v>
      </c>
      <c r="N7" s="79">
        <v>81753.36</v>
      </c>
      <c r="O7" s="82" t="s">
        <v>152</v>
      </c>
    </row>
    <row r="8" spans="2:17" s="76" customFormat="1" ht="15" customHeight="1" x14ac:dyDescent="0.25">
      <c r="B8" s="128"/>
      <c r="C8" s="78" t="s">
        <v>22</v>
      </c>
      <c r="D8" s="79">
        <v>100000000</v>
      </c>
      <c r="E8" s="80">
        <v>44942</v>
      </c>
      <c r="F8" s="80">
        <v>45657</v>
      </c>
      <c r="G8" s="74" t="s">
        <v>21</v>
      </c>
      <c r="H8" s="75">
        <v>4.0000000000000001E-3</v>
      </c>
      <c r="I8" s="81">
        <v>0</v>
      </c>
      <c r="J8" s="79">
        <v>50000000</v>
      </c>
      <c r="K8" s="79">
        <v>50000000</v>
      </c>
      <c r="L8" s="81">
        <v>0</v>
      </c>
      <c r="M8" s="79">
        <v>720828.35</v>
      </c>
      <c r="N8" s="79">
        <v>100000</v>
      </c>
      <c r="O8" s="82"/>
    </row>
    <row r="9" spans="2:17" s="76" customFormat="1" ht="15" customHeight="1" x14ac:dyDescent="0.25">
      <c r="B9" s="128"/>
      <c r="C9" s="78" t="s">
        <v>22</v>
      </c>
      <c r="D9" s="79">
        <v>25000000</v>
      </c>
      <c r="E9" s="80" t="s">
        <v>62</v>
      </c>
      <c r="F9" s="80" t="s">
        <v>62</v>
      </c>
      <c r="G9" s="74" t="s">
        <v>54</v>
      </c>
      <c r="H9" s="75">
        <v>1.7500000000000002E-2</v>
      </c>
      <c r="I9" s="81">
        <v>0</v>
      </c>
      <c r="J9" s="79">
        <v>0</v>
      </c>
      <c r="K9" s="79">
        <v>9700000</v>
      </c>
      <c r="L9" s="79">
        <f>+K9</f>
        <v>9700000</v>
      </c>
      <c r="M9" s="79">
        <v>0</v>
      </c>
      <c r="N9" s="79">
        <v>0</v>
      </c>
      <c r="O9" s="82" t="s">
        <v>167</v>
      </c>
    </row>
    <row r="10" spans="2:17" s="76" customFormat="1" ht="15" customHeight="1" x14ac:dyDescent="0.25">
      <c r="B10" s="128"/>
      <c r="C10" s="78" t="s">
        <v>41</v>
      </c>
      <c r="D10" s="79">
        <v>50000000</v>
      </c>
      <c r="E10" s="80">
        <v>45009</v>
      </c>
      <c r="F10" s="80">
        <v>45657</v>
      </c>
      <c r="G10" s="74" t="s">
        <v>21</v>
      </c>
      <c r="H10" s="75">
        <v>1E-3</v>
      </c>
      <c r="I10" s="81">
        <v>0</v>
      </c>
      <c r="J10" s="79">
        <v>297362500</v>
      </c>
      <c r="K10" s="79">
        <v>297362500</v>
      </c>
      <c r="L10" s="81">
        <v>0</v>
      </c>
      <c r="M10" s="79">
        <v>1502683.33</v>
      </c>
      <c r="N10" s="79">
        <v>52288.88</v>
      </c>
      <c r="O10" s="82"/>
    </row>
    <row r="11" spans="2:17" s="76" customFormat="1" ht="15.75" customHeight="1" x14ac:dyDescent="0.25">
      <c r="B11" s="83"/>
      <c r="C11" s="72" t="s">
        <v>46</v>
      </c>
      <c r="D11" s="71">
        <f>SUM(D6:D10)</f>
        <v>450000000</v>
      </c>
      <c r="E11" s="71"/>
      <c r="F11" s="71"/>
      <c r="G11" s="71"/>
      <c r="H11" s="71"/>
      <c r="I11" s="71">
        <v>0</v>
      </c>
      <c r="J11" s="25">
        <f>SUM(J6:J10)</f>
        <v>354862500</v>
      </c>
      <c r="K11" s="25">
        <f>SUM(K6:K10)</f>
        <v>439562500</v>
      </c>
      <c r="L11" s="25">
        <f>SUM(L6:L10)</f>
        <v>84700000</v>
      </c>
      <c r="M11" s="25">
        <f>SUM(M6:M10)</f>
        <v>3397113.73</v>
      </c>
      <c r="N11" s="25">
        <f>SUM(N6:N10)</f>
        <v>234042.23999999999</v>
      </c>
      <c r="O11" s="71"/>
      <c r="P11" s="77"/>
    </row>
    <row r="12" spans="2:17" s="76" customFormat="1" ht="15.75" customHeight="1" x14ac:dyDescent="0.25">
      <c r="B12" s="26" t="s">
        <v>154</v>
      </c>
      <c r="C12" s="66" t="s">
        <v>22</v>
      </c>
      <c r="D12" s="16">
        <v>10000</v>
      </c>
      <c r="E12" s="17">
        <v>44831</v>
      </c>
      <c r="F12" s="17"/>
      <c r="G12" s="19"/>
      <c r="H12" s="20">
        <v>0.11</v>
      </c>
      <c r="I12" s="16">
        <v>0</v>
      </c>
      <c r="J12" s="16">
        <v>37143.700000000004</v>
      </c>
      <c r="K12" s="16">
        <v>37143.700000000004</v>
      </c>
      <c r="L12" s="16">
        <f>I12-J12+K12</f>
        <v>0</v>
      </c>
      <c r="M12" s="16"/>
      <c r="N12" s="16"/>
      <c r="O12" s="49"/>
      <c r="P12" s="77"/>
    </row>
    <row r="13" spans="2:17" ht="15.75" customHeight="1" x14ac:dyDescent="0.25">
      <c r="B13" s="35"/>
      <c r="C13" s="33"/>
      <c r="D13" s="25">
        <f>SUM(D12:D12)</f>
        <v>10000</v>
      </c>
      <c r="E13" s="25"/>
      <c r="F13" s="25"/>
      <c r="G13" s="25"/>
      <c r="H13" s="25"/>
      <c r="I13" s="25">
        <f t="shared" ref="I13:N13" si="0">SUM(I12:I12)</f>
        <v>0</v>
      </c>
      <c r="J13" s="25">
        <f t="shared" si="0"/>
        <v>37143.700000000004</v>
      </c>
      <c r="K13" s="25">
        <f t="shared" si="0"/>
        <v>37143.700000000004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/>
      <c r="P13" s="6"/>
      <c r="Q13" s="7"/>
    </row>
    <row r="14" spans="2:17" ht="15" customHeight="1" x14ac:dyDescent="0.25">
      <c r="B14" s="94" t="s">
        <v>48</v>
      </c>
      <c r="C14" s="66" t="s">
        <v>37</v>
      </c>
      <c r="D14" s="16">
        <v>1000000</v>
      </c>
      <c r="E14" s="17">
        <v>43347</v>
      </c>
      <c r="F14" s="17" t="s">
        <v>80</v>
      </c>
      <c r="G14" s="19" t="s">
        <v>20</v>
      </c>
      <c r="H14" s="20">
        <v>8.5000000000000006E-3</v>
      </c>
      <c r="I14" s="16">
        <v>970000</v>
      </c>
      <c r="J14" s="16">
        <v>640000</v>
      </c>
      <c r="K14" s="16">
        <v>620000</v>
      </c>
      <c r="L14" s="16">
        <f t="shared" ref="L14:L15" si="1">I14-J14+K14</f>
        <v>950000</v>
      </c>
      <c r="M14" s="16">
        <v>39866.54</v>
      </c>
      <c r="N14" s="16">
        <v>8308.34</v>
      </c>
      <c r="O14" s="49" t="s">
        <v>153</v>
      </c>
      <c r="P14" s="6"/>
      <c r="Q14" s="7"/>
    </row>
    <row r="15" spans="2:17" ht="15" customHeight="1" x14ac:dyDescent="0.25">
      <c r="B15" s="95"/>
      <c r="C15" s="66" t="s">
        <v>28</v>
      </c>
      <c r="D15" s="16">
        <v>3500000</v>
      </c>
      <c r="E15" s="17">
        <v>41836</v>
      </c>
      <c r="F15" s="17" t="s">
        <v>80</v>
      </c>
      <c r="G15" s="19" t="s">
        <v>21</v>
      </c>
      <c r="H15" s="20">
        <v>1.2500000000000001E-2</v>
      </c>
      <c r="I15" s="16">
        <v>344500</v>
      </c>
      <c r="J15" s="16">
        <v>1520000</v>
      </c>
      <c r="K15" s="16">
        <v>3884400</v>
      </c>
      <c r="L15" s="16">
        <f t="shared" si="1"/>
        <v>2708900</v>
      </c>
      <c r="M15" s="16">
        <v>50165.3</v>
      </c>
      <c r="N15" s="16">
        <v>17499.990000000002</v>
      </c>
      <c r="O15" s="49" t="s">
        <v>49</v>
      </c>
      <c r="P15" s="6"/>
      <c r="Q15" s="7"/>
    </row>
    <row r="16" spans="2:17" ht="15" customHeight="1" x14ac:dyDescent="0.25">
      <c r="B16" s="95"/>
      <c r="C16" s="60" t="s">
        <v>22</v>
      </c>
      <c r="D16" s="16">
        <v>10000</v>
      </c>
      <c r="E16" s="17">
        <v>43452</v>
      </c>
      <c r="F16" s="17"/>
      <c r="G16" s="19"/>
      <c r="H16" s="20"/>
      <c r="I16" s="16">
        <v>55</v>
      </c>
      <c r="J16" s="16"/>
      <c r="K16" s="16"/>
      <c r="L16" s="16"/>
      <c r="M16" s="16"/>
      <c r="N16" s="16"/>
      <c r="O16" s="49"/>
      <c r="P16" s="6"/>
      <c r="Q16" s="7"/>
    </row>
    <row r="17" spans="2:17" ht="15" customHeight="1" x14ac:dyDescent="0.25">
      <c r="B17" s="96"/>
      <c r="C17" s="60" t="s">
        <v>37</v>
      </c>
      <c r="D17" s="16">
        <v>5000</v>
      </c>
      <c r="E17" s="17">
        <v>44698</v>
      </c>
      <c r="F17" s="17"/>
      <c r="G17" s="19"/>
      <c r="H17" s="20"/>
      <c r="I17" s="16">
        <v>1568</v>
      </c>
      <c r="J17" s="16"/>
      <c r="K17" s="16"/>
      <c r="L17" s="16">
        <v>513.5</v>
      </c>
      <c r="M17" s="16"/>
      <c r="N17" s="16"/>
      <c r="O17" s="49"/>
      <c r="P17" s="6"/>
      <c r="Q17" s="7"/>
    </row>
    <row r="18" spans="2:17" ht="15.75" customHeight="1" x14ac:dyDescent="0.25">
      <c r="B18" s="35"/>
      <c r="C18" s="33" t="s">
        <v>46</v>
      </c>
      <c r="D18" s="36">
        <f>SUM(D14:D17)</f>
        <v>4515000</v>
      </c>
      <c r="E18" s="36"/>
      <c r="F18" s="36"/>
      <c r="G18" s="25"/>
      <c r="H18" s="36"/>
      <c r="I18" s="25">
        <f>SUM(I14:I17)</f>
        <v>1316123</v>
      </c>
      <c r="J18" s="25">
        <f t="shared" ref="J18:N18" si="2">SUM(J14:J17)</f>
        <v>2160000</v>
      </c>
      <c r="K18" s="25">
        <f t="shared" si="2"/>
        <v>4504400</v>
      </c>
      <c r="L18" s="25">
        <f t="shared" si="2"/>
        <v>3659413.5</v>
      </c>
      <c r="M18" s="25">
        <f t="shared" si="2"/>
        <v>90031.84</v>
      </c>
      <c r="N18" s="25">
        <f t="shared" si="2"/>
        <v>25808.33</v>
      </c>
      <c r="O18" s="25"/>
      <c r="P18" s="6"/>
      <c r="Q18" s="7"/>
    </row>
    <row r="19" spans="2:17" ht="15" customHeight="1" x14ac:dyDescent="0.25">
      <c r="B19" s="94" t="s">
        <v>81</v>
      </c>
      <c r="C19" s="26" t="s">
        <v>22</v>
      </c>
      <c r="D19" s="28">
        <v>25000</v>
      </c>
      <c r="E19" s="29">
        <v>39961</v>
      </c>
      <c r="F19" s="29" t="s">
        <v>80</v>
      </c>
      <c r="G19" s="19" t="s">
        <v>21</v>
      </c>
      <c r="H19" s="68">
        <v>4.7500000000000001E-2</v>
      </c>
      <c r="I19" s="16">
        <v>20000</v>
      </c>
      <c r="J19" s="16">
        <v>22500</v>
      </c>
      <c r="K19" s="16">
        <v>2500</v>
      </c>
      <c r="L19" s="16">
        <f t="shared" ref="L19:L24" si="3">I19-J19+K19</f>
        <v>0</v>
      </c>
      <c r="M19" s="16">
        <v>304.89</v>
      </c>
      <c r="N19" s="16">
        <v>1055.3400000000001</v>
      </c>
      <c r="O19" s="16"/>
      <c r="P19" s="6"/>
      <c r="Q19" s="7"/>
    </row>
    <row r="20" spans="2:17" ht="15" customHeight="1" x14ac:dyDescent="0.25">
      <c r="B20" s="95"/>
      <c r="C20" s="9" t="s">
        <v>22</v>
      </c>
      <c r="D20" s="16">
        <v>200000</v>
      </c>
      <c r="E20" s="17">
        <v>39961</v>
      </c>
      <c r="F20" s="17" t="s">
        <v>80</v>
      </c>
      <c r="G20" s="19" t="s">
        <v>21</v>
      </c>
      <c r="H20" s="20">
        <v>4.7500000000000001E-2</v>
      </c>
      <c r="I20" s="16">
        <v>185000</v>
      </c>
      <c r="J20" s="16">
        <f>442500+25000+95000+47500+7500+7500+75000+55000+55000+17500+5000</f>
        <v>832500</v>
      </c>
      <c r="K20" s="16">
        <f>282500+2500+2500+15000+42500+37500+25000+7500+15000+2500+5000+25000+5000+12500+37500+2500+2500+2500+22500+10000+12500+12500+22500+7500+2500+2500+5000+2500+20000+10000</f>
        <v>655000</v>
      </c>
      <c r="L20" s="16">
        <f t="shared" si="3"/>
        <v>7500</v>
      </c>
      <c r="M20" s="16">
        <f>607.95+838.82+393.96+687.59</f>
        <v>2528.3200000000002</v>
      </c>
      <c r="N20" s="16">
        <f>203.5+2065.24+306.59+2053.99</f>
        <v>4629.32</v>
      </c>
      <c r="O20" s="16"/>
      <c r="P20" s="6"/>
      <c r="Q20" s="7"/>
    </row>
    <row r="21" spans="2:17" ht="15" customHeight="1" x14ac:dyDescent="0.25">
      <c r="B21" s="95"/>
      <c r="C21" s="60" t="s">
        <v>28</v>
      </c>
      <c r="D21" s="61">
        <v>300000</v>
      </c>
      <c r="E21" s="62">
        <v>43544</v>
      </c>
      <c r="F21" s="62" t="s">
        <v>80</v>
      </c>
      <c r="G21" s="19" t="s">
        <v>21</v>
      </c>
      <c r="H21" s="20">
        <v>2.5000000000000001E-2</v>
      </c>
      <c r="I21" s="16">
        <v>180000</v>
      </c>
      <c r="J21" s="16">
        <f>196000+3000+12000</f>
        <v>211000</v>
      </c>
      <c r="K21" s="16">
        <f>16000+15000</f>
        <v>31000</v>
      </c>
      <c r="L21" s="16">
        <f t="shared" si="3"/>
        <v>0</v>
      </c>
      <c r="M21" s="16">
        <f>1142.97+2.14+106.85+0</f>
        <v>1251.96</v>
      </c>
      <c r="N21" s="16">
        <v>0</v>
      </c>
      <c r="O21" s="63"/>
      <c r="P21" s="6"/>
      <c r="Q21" s="7"/>
    </row>
    <row r="22" spans="2:17" ht="15" customHeight="1" x14ac:dyDescent="0.25">
      <c r="B22" s="95"/>
      <c r="C22" s="60" t="s">
        <v>28</v>
      </c>
      <c r="D22" s="61">
        <v>540000</v>
      </c>
      <c r="E22" s="62">
        <v>44971</v>
      </c>
      <c r="F22" s="62" t="s">
        <v>125</v>
      </c>
      <c r="G22" s="19"/>
      <c r="H22" s="20"/>
      <c r="I22" s="16">
        <v>540000</v>
      </c>
      <c r="J22" s="16"/>
      <c r="K22" s="16"/>
      <c r="L22" s="16">
        <f t="shared" si="3"/>
        <v>540000</v>
      </c>
      <c r="M22" s="16">
        <v>0</v>
      </c>
      <c r="N22" s="16">
        <v>0</v>
      </c>
      <c r="O22" s="16"/>
      <c r="P22" s="6"/>
      <c r="Q22" s="7"/>
    </row>
    <row r="23" spans="2:17" ht="15" customHeight="1" x14ac:dyDescent="0.25">
      <c r="B23" s="95"/>
      <c r="C23" s="60" t="s">
        <v>28</v>
      </c>
      <c r="D23" s="61">
        <v>750000</v>
      </c>
      <c r="E23" s="62">
        <v>45330</v>
      </c>
      <c r="F23" s="62" t="s">
        <v>155</v>
      </c>
      <c r="G23" s="19"/>
      <c r="H23" s="20"/>
      <c r="I23" s="16">
        <v>0</v>
      </c>
      <c r="J23" s="16">
        <v>0</v>
      </c>
      <c r="K23" s="16">
        <f>200000+180000+240000+130000</f>
        <v>750000</v>
      </c>
      <c r="L23" s="16">
        <f t="shared" si="3"/>
        <v>750000</v>
      </c>
      <c r="M23" s="16"/>
      <c r="N23" s="16"/>
      <c r="O23" s="16"/>
      <c r="P23" s="6"/>
      <c r="Q23" s="7"/>
    </row>
    <row r="24" spans="2:17" ht="15" customHeight="1" x14ac:dyDescent="0.25">
      <c r="B24" s="96"/>
      <c r="C24" s="60" t="s">
        <v>22</v>
      </c>
      <c r="D24" s="61">
        <v>5000</v>
      </c>
      <c r="E24" s="64">
        <v>44317</v>
      </c>
      <c r="F24" s="64">
        <v>46568</v>
      </c>
      <c r="G24" s="131">
        <v>0.14199999999999999</v>
      </c>
      <c r="H24" s="131"/>
      <c r="I24" s="16">
        <v>549.37</v>
      </c>
      <c r="J24" s="16">
        <f>1137.17+120.18+429.19+7.99+7.99+7.99+7.99+82.99+7.99+7.99+7.99+7.99+241.67+117.98</f>
        <v>2193.1000000000004</v>
      </c>
      <c r="K24" s="16">
        <f>1153.15+7.99+82.99+7.99+7.99+7.99+7.99+7.99+178.8+54.88+7.99+109.99+7.99+2.2</f>
        <v>1645.9300000000003</v>
      </c>
      <c r="L24" s="16">
        <f t="shared" si="3"/>
        <v>2.1999999999998181</v>
      </c>
      <c r="M24" s="16">
        <v>0</v>
      </c>
      <c r="N24" s="16">
        <v>0</v>
      </c>
      <c r="O24" s="16"/>
      <c r="P24" s="6"/>
      <c r="Q24" s="7"/>
    </row>
    <row r="25" spans="2:17" ht="15.75" customHeight="1" x14ac:dyDescent="0.25">
      <c r="B25" s="23"/>
      <c r="C25" s="33" t="s">
        <v>46</v>
      </c>
      <c r="D25" s="25">
        <f>SUM(D19:D24)</f>
        <v>1820000</v>
      </c>
      <c r="E25" s="25"/>
      <c r="F25" s="25"/>
      <c r="G25" s="25"/>
      <c r="H25" s="25"/>
      <c r="I25" s="25">
        <f t="shared" ref="I25" si="4">SUM(I19:I24)</f>
        <v>925549.37</v>
      </c>
      <c r="J25" s="25">
        <f t="shared" ref="J25" si="5">SUM(J19:J24)</f>
        <v>1068193.1000000001</v>
      </c>
      <c r="K25" s="25">
        <f t="shared" ref="K25" si="6">SUM(K19:K24)</f>
        <v>1440145.93</v>
      </c>
      <c r="L25" s="25">
        <f t="shared" ref="L25" si="7">SUM(L19:L24)</f>
        <v>1297502.2</v>
      </c>
      <c r="M25" s="25">
        <f t="shared" ref="M25" si="8">SUM(M19:M24)</f>
        <v>4085.17</v>
      </c>
      <c r="N25" s="25">
        <f t="shared" ref="N25" si="9">SUM(N19:N24)</f>
        <v>5684.66</v>
      </c>
      <c r="O25" s="25"/>
      <c r="P25" s="6"/>
      <c r="Q25" s="7"/>
    </row>
    <row r="26" spans="2:17" ht="15" customHeight="1" x14ac:dyDescent="0.25">
      <c r="B26" s="94" t="s">
        <v>50</v>
      </c>
      <c r="C26" s="9" t="s">
        <v>28</v>
      </c>
      <c r="D26" s="16">
        <v>500000</v>
      </c>
      <c r="E26" s="17">
        <v>41559</v>
      </c>
      <c r="F26" s="17"/>
      <c r="G26" s="19" t="s">
        <v>20</v>
      </c>
      <c r="H26" s="20">
        <v>6.5000000000000002E-2</v>
      </c>
      <c r="I26" s="16">
        <v>130000</v>
      </c>
      <c r="J26" s="16">
        <v>2272850</v>
      </c>
      <c r="K26" s="16">
        <v>2142850</v>
      </c>
      <c r="L26" s="16">
        <f>I26-J26+K26</f>
        <v>0</v>
      </c>
      <c r="M26" s="16">
        <v>7970.01</v>
      </c>
      <c r="N26" s="16">
        <v>5850.5</v>
      </c>
      <c r="O26" s="49"/>
      <c r="P26" s="6"/>
      <c r="Q26" s="7"/>
    </row>
    <row r="27" spans="2:17" ht="15" customHeight="1" x14ac:dyDescent="0.25">
      <c r="B27" s="96"/>
      <c r="C27" s="9" t="s">
        <v>28</v>
      </c>
      <c r="D27" s="16">
        <v>2000</v>
      </c>
      <c r="E27" s="17">
        <v>44937</v>
      </c>
      <c r="F27" s="17"/>
      <c r="G27" s="131">
        <v>0.27200000000000002</v>
      </c>
      <c r="H27" s="131"/>
      <c r="I27" s="16">
        <v>280</v>
      </c>
      <c r="J27" s="16">
        <v>2764.62</v>
      </c>
      <c r="K27" s="16">
        <v>3044.2</v>
      </c>
      <c r="L27" s="16">
        <v>0</v>
      </c>
      <c r="M27" s="16"/>
      <c r="N27" s="16"/>
      <c r="O27" s="49"/>
      <c r="P27" s="6"/>
      <c r="Q27" s="7"/>
    </row>
    <row r="28" spans="2:17" ht="15.75" customHeight="1" x14ac:dyDescent="0.25">
      <c r="B28" s="23"/>
      <c r="C28" s="33" t="s">
        <v>46</v>
      </c>
      <c r="D28" s="25">
        <f>SUM(D26:D27)</f>
        <v>502000</v>
      </c>
      <c r="E28" s="25"/>
      <c r="F28" s="52"/>
      <c r="G28" s="52"/>
      <c r="H28" s="52"/>
      <c r="I28" s="25">
        <f t="shared" ref="I28:N28" si="10">SUM(I26:I27)</f>
        <v>130280</v>
      </c>
      <c r="J28" s="25">
        <f t="shared" si="10"/>
        <v>2275614.62</v>
      </c>
      <c r="K28" s="25">
        <f t="shared" si="10"/>
        <v>2145894.2000000002</v>
      </c>
      <c r="L28" s="25">
        <f t="shared" si="10"/>
        <v>0</v>
      </c>
      <c r="M28" s="25">
        <f t="shared" si="10"/>
        <v>7970.01</v>
      </c>
      <c r="N28" s="25">
        <f t="shared" si="10"/>
        <v>5850.5</v>
      </c>
      <c r="O28" s="25"/>
      <c r="P28" s="6"/>
      <c r="Q28" s="7"/>
    </row>
    <row r="29" spans="2:17" ht="15" customHeight="1" x14ac:dyDescent="0.25">
      <c r="B29" s="94" t="s">
        <v>56</v>
      </c>
      <c r="C29" s="9" t="s">
        <v>57</v>
      </c>
      <c r="D29" s="16">
        <v>100000</v>
      </c>
      <c r="E29" s="17">
        <v>38394</v>
      </c>
      <c r="F29" s="17" t="s">
        <v>80</v>
      </c>
      <c r="G29" s="19" t="s">
        <v>20</v>
      </c>
      <c r="H29" s="20">
        <v>3.2500000000000001E-2</v>
      </c>
      <c r="I29" s="16">
        <v>0</v>
      </c>
      <c r="J29" s="16">
        <v>0</v>
      </c>
      <c r="K29" s="16">
        <v>0</v>
      </c>
      <c r="L29" s="16">
        <v>0</v>
      </c>
      <c r="M29" s="16"/>
      <c r="N29" s="16">
        <v>731.44</v>
      </c>
      <c r="O29" s="16"/>
      <c r="P29" s="6"/>
      <c r="Q29" s="7"/>
    </row>
    <row r="30" spans="2:17" ht="15" customHeight="1" x14ac:dyDescent="0.25">
      <c r="B30" s="96"/>
      <c r="C30" s="9" t="s">
        <v>57</v>
      </c>
      <c r="D30" s="69">
        <v>3000</v>
      </c>
      <c r="E30" s="70">
        <v>43494</v>
      </c>
      <c r="F30" s="70"/>
      <c r="G30" s="131">
        <v>0.18096000000000001</v>
      </c>
      <c r="H30" s="131"/>
      <c r="I30" s="69">
        <v>16.39</v>
      </c>
      <c r="J30" s="69">
        <v>569.98</v>
      </c>
      <c r="K30" s="69">
        <v>573.16999999999996</v>
      </c>
      <c r="L30" s="69">
        <v>3.19</v>
      </c>
      <c r="M30" s="69"/>
      <c r="N30" s="69"/>
      <c r="O30" s="69"/>
      <c r="P30" s="6"/>
      <c r="Q30" s="7"/>
    </row>
    <row r="31" spans="2:17" ht="15.75" customHeight="1" x14ac:dyDescent="0.25">
      <c r="B31" s="23"/>
      <c r="C31" s="33" t="s">
        <v>46</v>
      </c>
      <c r="D31" s="25">
        <f>SUM(D29:D30)</f>
        <v>103000</v>
      </c>
      <c r="E31" s="25"/>
      <c r="F31" s="52"/>
      <c r="G31" s="52"/>
      <c r="H31" s="52"/>
      <c r="I31" s="25">
        <f t="shared" ref="I31:N31" si="11">SUM(I29:I30)</f>
        <v>16.39</v>
      </c>
      <c r="J31" s="25">
        <f t="shared" si="11"/>
        <v>569.98</v>
      </c>
      <c r="K31" s="25">
        <f t="shared" si="11"/>
        <v>573.16999999999996</v>
      </c>
      <c r="L31" s="25">
        <f t="shared" si="11"/>
        <v>3.19</v>
      </c>
      <c r="M31" s="25">
        <f t="shared" si="11"/>
        <v>0</v>
      </c>
      <c r="N31" s="25">
        <f t="shared" si="11"/>
        <v>731.44</v>
      </c>
      <c r="O31" s="25"/>
      <c r="P31" s="6"/>
      <c r="Q31" s="7"/>
    </row>
    <row r="32" spans="2:17" ht="15.75" customHeight="1" x14ac:dyDescent="0.25">
      <c r="B32" s="67" t="s">
        <v>59</v>
      </c>
      <c r="C32" s="67" t="s">
        <v>25</v>
      </c>
      <c r="D32" s="69">
        <v>1500000</v>
      </c>
      <c r="E32" s="70">
        <v>44712</v>
      </c>
      <c r="F32" s="70" t="s">
        <v>62</v>
      </c>
      <c r="G32" s="19" t="s">
        <v>21</v>
      </c>
      <c r="H32" s="65">
        <v>1.2500000000000001E-2</v>
      </c>
      <c r="I32" s="69">
        <v>1432500</v>
      </c>
      <c r="J32" s="69">
        <v>6592500</v>
      </c>
      <c r="K32" s="69">
        <v>5527500</v>
      </c>
      <c r="L32" s="69">
        <f>I32-J32+K32</f>
        <v>367500</v>
      </c>
      <c r="M32" s="69">
        <v>42884.45</v>
      </c>
      <c r="N32" s="69">
        <v>2343.1999999999998</v>
      </c>
      <c r="O32" s="69"/>
      <c r="P32" s="6"/>
      <c r="Q32" s="7"/>
    </row>
    <row r="33" spans="2:17" ht="15.75" customHeight="1" x14ac:dyDescent="0.25">
      <c r="B33" s="23"/>
      <c r="C33" s="33" t="s">
        <v>46</v>
      </c>
      <c r="D33" s="25">
        <f>SUM(D32:D32)</f>
        <v>1500000</v>
      </c>
      <c r="E33" s="25"/>
      <c r="F33" s="25"/>
      <c r="G33" s="25"/>
      <c r="H33" s="25"/>
      <c r="I33" s="25">
        <f t="shared" ref="I33:N33" si="12">SUM(I32:I32)</f>
        <v>1432500</v>
      </c>
      <c r="J33" s="25">
        <f t="shared" si="12"/>
        <v>6592500</v>
      </c>
      <c r="K33" s="25">
        <f t="shared" si="12"/>
        <v>5527500</v>
      </c>
      <c r="L33" s="25">
        <f t="shared" si="12"/>
        <v>367500</v>
      </c>
      <c r="M33" s="25">
        <f t="shared" si="12"/>
        <v>42884.45</v>
      </c>
      <c r="N33" s="25">
        <f t="shared" si="12"/>
        <v>2343.1999999999998</v>
      </c>
      <c r="O33" s="25"/>
      <c r="P33" s="6"/>
      <c r="Q33" s="7"/>
    </row>
    <row r="34" spans="2:17" ht="15.75" customHeight="1" x14ac:dyDescent="0.25">
      <c r="B34" s="94" t="s">
        <v>82</v>
      </c>
      <c r="C34" s="9" t="s">
        <v>22</v>
      </c>
      <c r="D34" s="16">
        <v>300000</v>
      </c>
      <c r="E34" s="17">
        <v>37246</v>
      </c>
      <c r="F34" s="17" t="s">
        <v>80</v>
      </c>
      <c r="G34" s="19" t="s">
        <v>21</v>
      </c>
      <c r="H34" s="20">
        <v>4.4999999999999998E-2</v>
      </c>
      <c r="I34" s="16"/>
      <c r="J34" s="16"/>
      <c r="K34" s="16"/>
      <c r="L34" s="16">
        <f t="shared" ref="L34:L36" si="13">I34-J34+K34</f>
        <v>0</v>
      </c>
      <c r="M34" s="16"/>
      <c r="N34" s="16"/>
      <c r="O34" s="16"/>
      <c r="P34" s="6"/>
      <c r="Q34" s="7"/>
    </row>
    <row r="35" spans="2:17" ht="15.75" customHeight="1" x14ac:dyDescent="0.25">
      <c r="B35" s="95"/>
      <c r="C35" s="9" t="s">
        <v>22</v>
      </c>
      <c r="D35" s="16">
        <v>5000</v>
      </c>
      <c r="E35" s="17"/>
      <c r="F35" s="17"/>
      <c r="G35" s="19"/>
      <c r="H35" s="20"/>
      <c r="I35" s="16">
        <v>179.8799999999992</v>
      </c>
      <c r="J35" s="16">
        <v>1765.23</v>
      </c>
      <c r="K35" s="16">
        <v>1585.35</v>
      </c>
      <c r="L35" s="16">
        <f t="shared" si="13"/>
        <v>0</v>
      </c>
      <c r="M35" s="16"/>
      <c r="N35" s="16"/>
      <c r="O35" s="49"/>
      <c r="P35" s="6"/>
      <c r="Q35" s="7"/>
    </row>
    <row r="36" spans="2:17" ht="15.75" customHeight="1" x14ac:dyDescent="0.25">
      <c r="B36" s="95"/>
      <c r="C36" s="9" t="s">
        <v>22</v>
      </c>
      <c r="D36" s="16">
        <v>5000</v>
      </c>
      <c r="E36" s="17"/>
      <c r="F36" s="17"/>
      <c r="G36" s="19"/>
      <c r="H36" s="20"/>
      <c r="I36" s="16">
        <v>4.2</v>
      </c>
      <c r="J36" s="16">
        <v>8093.32</v>
      </c>
      <c r="K36" s="16">
        <v>8672.8799999999992</v>
      </c>
      <c r="L36" s="16">
        <f t="shared" si="13"/>
        <v>583.75999999999931</v>
      </c>
      <c r="M36" s="16"/>
      <c r="N36" s="16"/>
      <c r="O36" s="49"/>
      <c r="P36" s="6"/>
      <c r="Q36" s="7"/>
    </row>
    <row r="37" spans="2:17" ht="15.75" customHeight="1" x14ac:dyDescent="0.25">
      <c r="B37" s="95"/>
      <c r="C37" s="9" t="s">
        <v>22</v>
      </c>
      <c r="D37" s="16">
        <v>1080000</v>
      </c>
      <c r="E37" s="17">
        <v>45005</v>
      </c>
      <c r="F37" s="17">
        <v>46022</v>
      </c>
      <c r="G37" s="19" t="s">
        <v>35</v>
      </c>
      <c r="H37" s="20">
        <v>4.2999999999999997E-2</v>
      </c>
      <c r="I37" s="16">
        <v>560000</v>
      </c>
      <c r="J37" s="16"/>
      <c r="K37" s="16">
        <v>0</v>
      </c>
      <c r="L37" s="16">
        <v>560000</v>
      </c>
      <c r="M37" s="16">
        <v>30829</v>
      </c>
      <c r="N37" s="16"/>
      <c r="O37" s="49"/>
      <c r="P37" s="6"/>
      <c r="Q37" s="7"/>
    </row>
    <row r="38" spans="2:17" ht="15.75" customHeight="1" x14ac:dyDescent="0.25">
      <c r="B38" s="96"/>
      <c r="C38" s="9" t="s">
        <v>22</v>
      </c>
      <c r="D38" s="16">
        <v>1150000</v>
      </c>
      <c r="E38" s="17">
        <v>45250</v>
      </c>
      <c r="F38" s="17">
        <v>46022</v>
      </c>
      <c r="G38" s="19" t="s">
        <v>35</v>
      </c>
      <c r="H38" s="20">
        <v>4.2999999999999997E-2</v>
      </c>
      <c r="I38" s="16">
        <v>0</v>
      </c>
      <c r="J38" s="16"/>
      <c r="K38" s="16">
        <v>1150000</v>
      </c>
      <c r="L38" s="16">
        <v>1150000</v>
      </c>
      <c r="M38" s="16">
        <v>12271</v>
      </c>
      <c r="N38" s="16"/>
      <c r="O38" s="49"/>
      <c r="P38" s="6"/>
      <c r="Q38" s="7"/>
    </row>
    <row r="39" spans="2:17" ht="15.75" customHeight="1" x14ac:dyDescent="0.25">
      <c r="B39" s="23"/>
      <c r="C39" s="33" t="s">
        <v>46</v>
      </c>
      <c r="D39" s="25">
        <f>SUM(D34:D38)</f>
        <v>2540000</v>
      </c>
      <c r="E39" s="25"/>
      <c r="F39" s="52"/>
      <c r="G39" s="52"/>
      <c r="H39" s="52"/>
      <c r="I39" s="33">
        <f>SUM(I34:I38)</f>
        <v>560184.07999999996</v>
      </c>
      <c r="J39" s="33">
        <f t="shared" ref="J39:N39" si="14">SUM(J34:J38)</f>
        <v>9858.5499999999993</v>
      </c>
      <c r="K39" s="33">
        <f t="shared" si="14"/>
        <v>1160258.23</v>
      </c>
      <c r="L39" s="33">
        <f t="shared" si="14"/>
        <v>1710583.76</v>
      </c>
      <c r="M39" s="33">
        <f t="shared" si="14"/>
        <v>43100</v>
      </c>
      <c r="N39" s="33">
        <f t="shared" si="14"/>
        <v>0</v>
      </c>
      <c r="O39" s="33"/>
      <c r="P39" s="6"/>
      <c r="Q39" s="7"/>
    </row>
    <row r="40" spans="2:17" ht="15.75" customHeight="1" x14ac:dyDescent="0.25">
      <c r="B40" s="67" t="s">
        <v>120</v>
      </c>
      <c r="C40" s="67" t="s">
        <v>34</v>
      </c>
      <c r="D40" s="69">
        <v>4000</v>
      </c>
      <c r="E40" s="70">
        <v>45292</v>
      </c>
      <c r="F40" s="70">
        <v>45616</v>
      </c>
      <c r="G40" s="19"/>
      <c r="H40" s="65"/>
      <c r="I40" s="69">
        <v>109.9</v>
      </c>
      <c r="J40" s="69">
        <v>1014.1</v>
      </c>
      <c r="K40" s="69">
        <v>1014.1</v>
      </c>
      <c r="L40" s="69">
        <v>0</v>
      </c>
      <c r="M40" s="69"/>
      <c r="N40" s="69"/>
      <c r="O40" s="69"/>
      <c r="P40" s="6"/>
      <c r="Q40" s="7"/>
    </row>
    <row r="41" spans="2:17" ht="15.75" customHeight="1" x14ac:dyDescent="0.25">
      <c r="B41" s="23"/>
      <c r="C41" s="33" t="s">
        <v>46</v>
      </c>
      <c r="D41" s="25">
        <f>SUM(D40:D40)</f>
        <v>4000</v>
      </c>
      <c r="E41" s="25"/>
      <c r="F41" s="25"/>
      <c r="G41" s="25"/>
      <c r="H41" s="25"/>
      <c r="I41" s="25">
        <f t="shared" ref="I41:N41" si="15">SUM(I40:I40)</f>
        <v>109.9</v>
      </c>
      <c r="J41" s="25">
        <f t="shared" si="15"/>
        <v>1014.1</v>
      </c>
      <c r="K41" s="25">
        <f t="shared" si="15"/>
        <v>1014.1</v>
      </c>
      <c r="L41" s="25">
        <f t="shared" si="15"/>
        <v>0</v>
      </c>
      <c r="M41" s="25">
        <f t="shared" si="15"/>
        <v>0</v>
      </c>
      <c r="N41" s="25">
        <f t="shared" si="15"/>
        <v>0</v>
      </c>
      <c r="O41" s="25"/>
      <c r="P41" s="6"/>
      <c r="Q41" s="7"/>
    </row>
    <row r="42" spans="2:17" ht="15.75" customHeight="1" x14ac:dyDescent="0.25">
      <c r="B42" s="88" t="s">
        <v>162</v>
      </c>
      <c r="C42" s="9" t="s">
        <v>34</v>
      </c>
      <c r="D42" s="16"/>
      <c r="E42" s="17"/>
      <c r="F42" s="17"/>
      <c r="G42" s="19"/>
      <c r="H42" s="20"/>
      <c r="I42" s="16"/>
      <c r="J42" s="16"/>
      <c r="K42" s="16"/>
      <c r="L42" s="16">
        <v>0.87</v>
      </c>
      <c r="M42" s="16"/>
      <c r="N42" s="16"/>
      <c r="O42" s="49" t="s">
        <v>163</v>
      </c>
      <c r="P42" s="6"/>
      <c r="Q42" s="7"/>
    </row>
    <row r="43" spans="2:17" ht="15.75" customHeight="1" x14ac:dyDescent="0.25">
      <c r="B43" s="23"/>
      <c r="C43" s="33" t="s">
        <v>46</v>
      </c>
      <c r="D43" s="25"/>
      <c r="E43" s="25"/>
      <c r="F43" s="52"/>
      <c r="G43" s="52"/>
      <c r="H43" s="52"/>
      <c r="I43" s="33"/>
      <c r="J43" s="33"/>
      <c r="K43" s="33"/>
      <c r="L43" s="33">
        <f t="shared" ref="L43" si="16">SUM(L42:L42)</f>
        <v>0.87</v>
      </c>
      <c r="M43" s="33"/>
      <c r="N43" s="33"/>
      <c r="O43" s="33"/>
      <c r="P43" s="6"/>
      <c r="Q43" s="7"/>
    </row>
    <row r="44" spans="2:17" ht="15.75" customHeight="1" x14ac:dyDescent="0.25">
      <c r="B44" s="121" t="s">
        <v>61</v>
      </c>
      <c r="C44" s="9" t="s">
        <v>25</v>
      </c>
      <c r="D44" s="16">
        <v>2916706.43</v>
      </c>
      <c r="E44" s="17">
        <v>45258</v>
      </c>
      <c r="F44" s="17">
        <v>45318</v>
      </c>
      <c r="G44" s="19" t="s">
        <v>35</v>
      </c>
      <c r="H44" s="20">
        <v>1.2500000000000001E-2</v>
      </c>
      <c r="I44" s="16">
        <v>2916706.43</v>
      </c>
      <c r="J44" s="16">
        <v>2916706.43</v>
      </c>
      <c r="K44" s="16">
        <v>0</v>
      </c>
      <c r="L44" s="16">
        <f t="shared" ref="L44:L46" si="17">I44-J44+K44</f>
        <v>0</v>
      </c>
      <c r="M44" s="16">
        <v>37202.590514650001</v>
      </c>
      <c r="N44" s="16">
        <v>1488.103620586</v>
      </c>
      <c r="O44" s="49" t="s">
        <v>49</v>
      </c>
      <c r="P44" s="6"/>
      <c r="Q44" s="7"/>
    </row>
    <row r="45" spans="2:17" ht="15.75" customHeight="1" x14ac:dyDescent="0.25">
      <c r="B45" s="122"/>
      <c r="C45" s="9" t="s">
        <v>25</v>
      </c>
      <c r="D45" s="16">
        <v>2500000</v>
      </c>
      <c r="E45" s="17">
        <v>45372</v>
      </c>
      <c r="F45" s="17">
        <v>45530</v>
      </c>
      <c r="G45" s="19" t="s">
        <v>165</v>
      </c>
      <c r="H45" s="20">
        <v>1.2500000000000001E-2</v>
      </c>
      <c r="I45" s="16">
        <v>0</v>
      </c>
      <c r="J45" s="16">
        <v>2500000</v>
      </c>
      <c r="K45" s="16">
        <v>2500000</v>
      </c>
      <c r="L45" s="16">
        <f t="shared" si="17"/>
        <v>0</v>
      </c>
      <c r="M45" s="16">
        <v>12642.87</v>
      </c>
      <c r="N45" s="16">
        <v>12872.9236</v>
      </c>
      <c r="O45" s="49"/>
      <c r="P45" s="6"/>
      <c r="Q45" s="7"/>
    </row>
    <row r="46" spans="2:17" ht="15.75" customHeight="1" x14ac:dyDescent="0.25">
      <c r="B46" s="122"/>
      <c r="C46" s="9" t="s">
        <v>23</v>
      </c>
      <c r="D46" s="16">
        <v>7000000</v>
      </c>
      <c r="E46" s="17">
        <v>45589</v>
      </c>
      <c r="F46" s="17">
        <v>46356</v>
      </c>
      <c r="G46" s="19" t="s">
        <v>165</v>
      </c>
      <c r="H46" s="20">
        <v>0.04</v>
      </c>
      <c r="I46" s="16">
        <v>0</v>
      </c>
      <c r="J46" s="16">
        <v>7000000</v>
      </c>
      <c r="K46" s="16">
        <v>13977000</v>
      </c>
      <c r="L46" s="16">
        <f t="shared" si="17"/>
        <v>6977000</v>
      </c>
      <c r="M46" s="16">
        <v>44235.15</v>
      </c>
      <c r="N46" s="16">
        <v>15069.4</v>
      </c>
      <c r="O46" s="49"/>
      <c r="P46" s="6"/>
      <c r="Q46" s="7"/>
    </row>
    <row r="47" spans="2:17" ht="15.75" customHeight="1" x14ac:dyDescent="0.25">
      <c r="B47" s="23"/>
      <c r="C47" s="33" t="s">
        <v>46</v>
      </c>
      <c r="D47" s="25">
        <f>SUM(D44:D46)</f>
        <v>12416706.43</v>
      </c>
      <c r="E47" s="25"/>
      <c r="F47" s="52"/>
      <c r="G47" s="52"/>
      <c r="H47" s="52"/>
      <c r="I47" s="33">
        <f t="shared" ref="I47:N47" si="18">SUM(I44:I46)</f>
        <v>2916706.43</v>
      </c>
      <c r="J47" s="33">
        <f t="shared" si="18"/>
        <v>12416706.43</v>
      </c>
      <c r="K47" s="33">
        <f t="shared" si="18"/>
        <v>16477000</v>
      </c>
      <c r="L47" s="33">
        <f t="shared" si="18"/>
        <v>6977000</v>
      </c>
      <c r="M47" s="33">
        <f t="shared" si="18"/>
        <v>94080.610514650005</v>
      </c>
      <c r="N47" s="33">
        <f t="shared" si="18"/>
        <v>29430.427220586</v>
      </c>
      <c r="O47" s="33"/>
      <c r="P47" s="6"/>
      <c r="Q47" s="7"/>
    </row>
    <row r="48" spans="2:17" ht="15.75" customHeight="1" x14ac:dyDescent="0.25">
      <c r="B48" s="121" t="s">
        <v>66</v>
      </c>
      <c r="C48" s="15" t="s">
        <v>25</v>
      </c>
      <c r="D48" s="16">
        <v>6393111</v>
      </c>
      <c r="E48" s="17">
        <v>45259</v>
      </c>
      <c r="F48" s="17">
        <v>45320</v>
      </c>
      <c r="G48" s="19" t="s">
        <v>35</v>
      </c>
      <c r="H48" s="20">
        <v>1.2500000000000001E-2</v>
      </c>
      <c r="I48" s="16">
        <v>6393111.3300000001</v>
      </c>
      <c r="J48" s="16">
        <v>6393111.3300000001</v>
      </c>
      <c r="K48" s="16">
        <v>0</v>
      </c>
      <c r="L48" s="16">
        <f t="shared" ref="L48:L50" si="19">I48-J48+K48</f>
        <v>0</v>
      </c>
      <c r="M48" s="16">
        <v>81544</v>
      </c>
      <c r="N48" s="16">
        <v>3262</v>
      </c>
      <c r="O48" s="49" t="s">
        <v>49</v>
      </c>
      <c r="P48" s="6"/>
      <c r="Q48" s="7"/>
    </row>
    <row r="49" spans="2:17" ht="15.75" customHeight="1" x14ac:dyDescent="0.25">
      <c r="B49" s="122"/>
      <c r="C49" s="15" t="s">
        <v>23</v>
      </c>
      <c r="D49" s="16">
        <v>9309818</v>
      </c>
      <c r="E49" s="17">
        <v>45267</v>
      </c>
      <c r="F49" s="17">
        <v>45322</v>
      </c>
      <c r="G49" s="19" t="s">
        <v>35</v>
      </c>
      <c r="H49" s="20">
        <v>1.35E-2</v>
      </c>
      <c r="I49" s="16">
        <v>9309818</v>
      </c>
      <c r="J49" s="16">
        <v>9309818</v>
      </c>
      <c r="K49" s="16">
        <v>0</v>
      </c>
      <c r="L49" s="16">
        <f t="shared" si="19"/>
        <v>0</v>
      </c>
      <c r="M49" s="16">
        <v>109235</v>
      </c>
      <c r="N49" s="16">
        <v>4369</v>
      </c>
      <c r="O49" s="49" t="s">
        <v>49</v>
      </c>
      <c r="P49" s="6"/>
      <c r="Q49" s="7"/>
    </row>
    <row r="50" spans="2:17" ht="15.75" customHeight="1" x14ac:dyDescent="0.25">
      <c r="B50" s="123"/>
      <c r="C50" s="15" t="s">
        <v>42</v>
      </c>
      <c r="D50" s="16">
        <v>2500000</v>
      </c>
      <c r="E50" s="17">
        <v>45372</v>
      </c>
      <c r="F50" s="17">
        <v>45530</v>
      </c>
      <c r="G50" s="19" t="s">
        <v>165</v>
      </c>
      <c r="H50" s="20">
        <v>1.2500000000000001E-2</v>
      </c>
      <c r="I50" s="16">
        <v>0</v>
      </c>
      <c r="J50" s="16">
        <v>2500000</v>
      </c>
      <c r="K50" s="16">
        <v>2500000</v>
      </c>
      <c r="L50" s="16">
        <f t="shared" si="19"/>
        <v>0</v>
      </c>
      <c r="M50" s="16">
        <v>13900</v>
      </c>
      <c r="N50" s="16">
        <v>10585</v>
      </c>
      <c r="O50" s="49"/>
      <c r="P50" s="6"/>
      <c r="Q50" s="7"/>
    </row>
    <row r="51" spans="2:17" ht="15.75" customHeight="1" x14ac:dyDescent="0.25">
      <c r="B51" s="23"/>
      <c r="C51" s="33" t="s">
        <v>46</v>
      </c>
      <c r="D51" s="25">
        <f>SUM(D48:D50)</f>
        <v>18202929</v>
      </c>
      <c r="E51" s="25"/>
      <c r="F51" s="52"/>
      <c r="G51" s="52"/>
      <c r="H51" s="52"/>
      <c r="I51" s="33">
        <f t="shared" ref="I51:N51" si="20">SUM(I48:I50)</f>
        <v>15702929.33</v>
      </c>
      <c r="J51" s="33">
        <f t="shared" si="20"/>
        <v>18202929.329999998</v>
      </c>
      <c r="K51" s="33">
        <f t="shared" si="20"/>
        <v>2500000</v>
      </c>
      <c r="L51" s="33">
        <f t="shared" si="20"/>
        <v>0</v>
      </c>
      <c r="M51" s="33">
        <f t="shared" si="20"/>
        <v>204679</v>
      </c>
      <c r="N51" s="33">
        <f t="shared" si="20"/>
        <v>18216</v>
      </c>
      <c r="O51" s="33"/>
      <c r="P51" s="6"/>
      <c r="Q51" s="7"/>
    </row>
    <row r="52" spans="2:17" ht="15.75" customHeight="1" x14ac:dyDescent="0.25">
      <c r="B52" s="26" t="s">
        <v>83</v>
      </c>
      <c r="C52" s="34" t="s">
        <v>22</v>
      </c>
      <c r="D52" s="69">
        <v>1000000</v>
      </c>
      <c r="E52" s="70">
        <v>43744</v>
      </c>
      <c r="F52" s="17" t="s">
        <v>80</v>
      </c>
      <c r="G52" s="19" t="s">
        <v>21</v>
      </c>
      <c r="H52" s="65">
        <v>4.4999999999999998E-2</v>
      </c>
      <c r="I52" s="69">
        <v>0</v>
      </c>
      <c r="J52" s="69">
        <v>8930000</v>
      </c>
      <c r="K52" s="69">
        <v>9930000</v>
      </c>
      <c r="L52" s="69">
        <f t="shared" ref="L52" si="21">I52-J52+K52</f>
        <v>1000000</v>
      </c>
      <c r="M52" s="69">
        <v>13272</v>
      </c>
      <c r="N52" s="69">
        <v>3484</v>
      </c>
      <c r="O52" s="69"/>
      <c r="P52" s="6"/>
      <c r="Q52" s="7"/>
    </row>
    <row r="53" spans="2:17" ht="15.75" customHeight="1" x14ac:dyDescent="0.25">
      <c r="B53" s="23"/>
      <c r="C53" s="33" t="s">
        <v>46</v>
      </c>
      <c r="D53" s="25">
        <f>SUM(D52)</f>
        <v>1000000</v>
      </c>
      <c r="E53" s="25"/>
      <c r="F53" s="52"/>
      <c r="G53" s="52"/>
      <c r="H53" s="52"/>
      <c r="I53" s="25">
        <f t="shared" ref="I53:N53" si="22">SUM(I52)</f>
        <v>0</v>
      </c>
      <c r="J53" s="25">
        <f t="shared" si="22"/>
        <v>8930000</v>
      </c>
      <c r="K53" s="25">
        <f t="shared" si="22"/>
        <v>9930000</v>
      </c>
      <c r="L53" s="25">
        <f t="shared" si="22"/>
        <v>1000000</v>
      </c>
      <c r="M53" s="25">
        <f t="shared" si="22"/>
        <v>13272</v>
      </c>
      <c r="N53" s="25">
        <f t="shared" si="22"/>
        <v>3484</v>
      </c>
      <c r="O53" s="25"/>
      <c r="P53" s="6"/>
      <c r="Q53" s="7"/>
    </row>
    <row r="54" spans="2:17" ht="15" customHeight="1" x14ac:dyDescent="0.25">
      <c r="B54" s="95" t="s">
        <v>67</v>
      </c>
      <c r="C54" s="15" t="s">
        <v>23</v>
      </c>
      <c r="D54" s="16">
        <v>96872.48</v>
      </c>
      <c r="E54" s="17">
        <v>44331</v>
      </c>
      <c r="F54" s="17">
        <v>45427</v>
      </c>
      <c r="G54" s="19" t="s">
        <v>20</v>
      </c>
      <c r="H54" s="20">
        <v>0.01</v>
      </c>
      <c r="I54" s="16">
        <v>11032.119999999995</v>
      </c>
      <c r="J54" s="16">
        <v>11032.12</v>
      </c>
      <c r="K54" s="16">
        <v>0</v>
      </c>
      <c r="L54" s="16">
        <f t="shared" ref="L54:L61" si="23">I54-J54+K54</f>
        <v>-5.4569682106375694E-12</v>
      </c>
      <c r="M54" s="16">
        <v>117.96</v>
      </c>
      <c r="N54" s="16">
        <v>1786.5728000000001</v>
      </c>
      <c r="O54" s="16"/>
      <c r="P54" s="6"/>
      <c r="Q54" s="7"/>
    </row>
    <row r="55" spans="2:17" ht="15" customHeight="1" x14ac:dyDescent="0.25">
      <c r="B55" s="95"/>
      <c r="C55" s="15" t="s">
        <v>22</v>
      </c>
      <c r="D55" s="16">
        <v>1000000</v>
      </c>
      <c r="E55" s="17">
        <v>44314</v>
      </c>
      <c r="F55" s="17" t="s">
        <v>80</v>
      </c>
      <c r="G55" s="19" t="s">
        <v>21</v>
      </c>
      <c r="H55" s="20">
        <v>2.9000000000000001E-2</v>
      </c>
      <c r="I55" s="16">
        <v>0</v>
      </c>
      <c r="J55" s="16">
        <v>0</v>
      </c>
      <c r="K55" s="16">
        <v>0</v>
      </c>
      <c r="L55" s="16">
        <f t="shared" si="23"/>
        <v>0</v>
      </c>
      <c r="M55" s="16">
        <v>0</v>
      </c>
      <c r="N55" s="16">
        <v>9594</v>
      </c>
      <c r="O55" s="49" t="s">
        <v>49</v>
      </c>
      <c r="P55" s="6"/>
      <c r="Q55" s="7"/>
    </row>
    <row r="56" spans="2:17" ht="15" customHeight="1" x14ac:dyDescent="0.25">
      <c r="B56" s="95"/>
      <c r="C56" s="15" t="s">
        <v>22</v>
      </c>
      <c r="D56" s="16">
        <v>24600</v>
      </c>
      <c r="E56" s="17">
        <v>43082</v>
      </c>
      <c r="F56" s="17">
        <v>45444</v>
      </c>
      <c r="G56" s="19" t="s">
        <v>21</v>
      </c>
      <c r="H56" s="20">
        <v>1.4999999999999999E-2</v>
      </c>
      <c r="I56" s="16">
        <v>2595.239999999998</v>
      </c>
      <c r="J56" s="16">
        <v>2595.2400000000002</v>
      </c>
      <c r="K56" s="16">
        <v>0</v>
      </c>
      <c r="L56" s="16">
        <f t="shared" si="23"/>
        <v>-2.2737367544323206E-12</v>
      </c>
      <c r="M56" s="16">
        <v>38.6</v>
      </c>
      <c r="N56" s="16">
        <v>434.61999999999995</v>
      </c>
      <c r="O56" s="49"/>
      <c r="P56" s="6"/>
      <c r="Q56" s="7"/>
    </row>
    <row r="57" spans="2:17" ht="15" customHeight="1" x14ac:dyDescent="0.25">
      <c r="B57" s="96"/>
      <c r="C57" s="15" t="s">
        <v>22</v>
      </c>
      <c r="D57" s="69">
        <v>37256.800000000003</v>
      </c>
      <c r="E57" s="70">
        <v>44576</v>
      </c>
      <c r="F57" s="70">
        <v>45672</v>
      </c>
      <c r="G57" s="19" t="s">
        <v>21</v>
      </c>
      <c r="H57" s="65">
        <v>1.2500000000000001E-2</v>
      </c>
      <c r="I57" s="69">
        <v>13222.280000000002</v>
      </c>
      <c r="J57" s="69">
        <v>12480.14</v>
      </c>
      <c r="K57" s="69">
        <v>0</v>
      </c>
      <c r="L57" s="16">
        <f t="shared" si="23"/>
        <v>742.14000000000306</v>
      </c>
      <c r="M57" s="69">
        <v>364.94000000000005</v>
      </c>
      <c r="N57" s="69">
        <v>2055.2099999999996</v>
      </c>
      <c r="O57" s="69"/>
      <c r="P57" s="6"/>
      <c r="Q57" s="7"/>
    </row>
    <row r="58" spans="2:17" ht="15.75" customHeight="1" x14ac:dyDescent="0.25">
      <c r="B58" s="35"/>
      <c r="C58" s="33" t="s">
        <v>46</v>
      </c>
      <c r="D58" s="36">
        <f>SUM(D54:D57)</f>
        <v>1158729.28</v>
      </c>
      <c r="E58" s="36"/>
      <c r="F58" s="39"/>
      <c r="G58" s="52"/>
      <c r="H58" s="39"/>
      <c r="I58" s="40">
        <f t="shared" ref="I58:N58" si="24">SUM(I54:I57)</f>
        <v>26849.639999999996</v>
      </c>
      <c r="J58" s="40">
        <f t="shared" si="24"/>
        <v>26107.5</v>
      </c>
      <c r="K58" s="40">
        <f t="shared" si="24"/>
        <v>0</v>
      </c>
      <c r="L58" s="33">
        <f t="shared" si="24"/>
        <v>742.13999999999533</v>
      </c>
      <c r="M58" s="40">
        <f t="shared" si="24"/>
        <v>521.5</v>
      </c>
      <c r="N58" s="40">
        <f t="shared" si="24"/>
        <v>13870.4028</v>
      </c>
      <c r="O58" s="40"/>
      <c r="P58" s="6"/>
      <c r="Q58" s="7"/>
    </row>
    <row r="59" spans="2:17" ht="15" customHeight="1" x14ac:dyDescent="0.25">
      <c r="B59" s="94" t="s">
        <v>68</v>
      </c>
      <c r="C59" s="27" t="s">
        <v>22</v>
      </c>
      <c r="D59" s="28">
        <v>500000</v>
      </c>
      <c r="E59" s="29">
        <v>35685</v>
      </c>
      <c r="F59" s="29" t="s">
        <v>80</v>
      </c>
      <c r="G59" s="19" t="s">
        <v>21</v>
      </c>
      <c r="H59" s="68">
        <v>3.5000000000000003E-2</v>
      </c>
      <c r="I59" s="28">
        <v>0</v>
      </c>
      <c r="J59" s="28">
        <v>166000</v>
      </c>
      <c r="K59" s="28">
        <v>166000</v>
      </c>
      <c r="L59" s="16">
        <f t="shared" si="23"/>
        <v>0</v>
      </c>
      <c r="M59" s="28">
        <v>235.32</v>
      </c>
      <c r="N59" s="28">
        <v>9000</v>
      </c>
      <c r="O59" s="28"/>
      <c r="P59" s="6"/>
    </row>
    <row r="60" spans="2:17" ht="15" customHeight="1" x14ac:dyDescent="0.25">
      <c r="B60" s="95"/>
      <c r="C60" s="15" t="s">
        <v>28</v>
      </c>
      <c r="D60" s="16">
        <v>250000</v>
      </c>
      <c r="E60" s="17">
        <v>41684</v>
      </c>
      <c r="F60" s="17" t="s">
        <v>80</v>
      </c>
      <c r="G60" s="19" t="s">
        <v>21</v>
      </c>
      <c r="H60" s="20">
        <v>3.5000000000000003E-2</v>
      </c>
      <c r="I60" s="16">
        <v>105000</v>
      </c>
      <c r="J60" s="16">
        <v>1097500</v>
      </c>
      <c r="K60" s="16">
        <v>1117500</v>
      </c>
      <c r="L60" s="16">
        <f t="shared" si="23"/>
        <v>125000</v>
      </c>
      <c r="M60" s="16">
        <v>1346.29</v>
      </c>
      <c r="N60" s="16">
        <v>2499.98</v>
      </c>
      <c r="O60" s="49" t="s">
        <v>49</v>
      </c>
      <c r="P60" s="6"/>
    </row>
    <row r="61" spans="2:17" ht="15" customHeight="1" x14ac:dyDescent="0.25">
      <c r="B61" s="95"/>
      <c r="C61" s="15" t="s">
        <v>57</v>
      </c>
      <c r="D61" s="16">
        <v>500000</v>
      </c>
      <c r="E61" s="17">
        <v>40648</v>
      </c>
      <c r="F61" s="17" t="s">
        <v>80</v>
      </c>
      <c r="G61" s="19" t="s">
        <v>21</v>
      </c>
      <c r="H61" s="20">
        <v>2.35E-2</v>
      </c>
      <c r="I61" s="16">
        <v>400000</v>
      </c>
      <c r="J61" s="16">
        <v>3404210.25</v>
      </c>
      <c r="K61" s="16">
        <v>3379210.25</v>
      </c>
      <c r="L61" s="16">
        <f t="shared" si="23"/>
        <v>375000</v>
      </c>
      <c r="M61" s="16">
        <v>3589.38</v>
      </c>
      <c r="N61" s="16">
        <v>3400.3500000000004</v>
      </c>
      <c r="O61" s="16"/>
      <c r="P61" s="6"/>
    </row>
    <row r="62" spans="2:17" ht="15" customHeight="1" x14ac:dyDescent="0.25">
      <c r="B62" s="96"/>
      <c r="C62" s="34" t="s">
        <v>22</v>
      </c>
      <c r="D62" s="69">
        <v>5000</v>
      </c>
      <c r="E62" s="70" t="s">
        <v>62</v>
      </c>
      <c r="F62" s="70" t="s">
        <v>62</v>
      </c>
      <c r="G62" s="130" t="s">
        <v>108</v>
      </c>
      <c r="H62" s="130"/>
      <c r="I62" s="69">
        <v>4</v>
      </c>
      <c r="J62" s="69"/>
      <c r="K62" s="69"/>
      <c r="L62" s="69">
        <v>0</v>
      </c>
      <c r="M62" s="69">
        <v>0</v>
      </c>
      <c r="N62" s="69">
        <v>50.4</v>
      </c>
      <c r="O62" s="69"/>
      <c r="P62" s="6"/>
    </row>
    <row r="63" spans="2:17" ht="15.75" customHeight="1" x14ac:dyDescent="0.25">
      <c r="B63" s="23"/>
      <c r="C63" s="33" t="s">
        <v>46</v>
      </c>
      <c r="D63" s="25">
        <f>SUM(D59:D62)</f>
        <v>1255000</v>
      </c>
      <c r="E63" s="25"/>
      <c r="F63" s="52"/>
      <c r="G63" s="52"/>
      <c r="H63" s="52"/>
      <c r="I63" s="33">
        <f t="shared" ref="I63:N63" si="25">SUM(I59:I62)</f>
        <v>505004</v>
      </c>
      <c r="J63" s="33">
        <f t="shared" si="25"/>
        <v>4667710.25</v>
      </c>
      <c r="K63" s="33">
        <f t="shared" si="25"/>
        <v>4662710.25</v>
      </c>
      <c r="L63" s="33">
        <f t="shared" si="25"/>
        <v>500000</v>
      </c>
      <c r="M63" s="33">
        <f t="shared" si="25"/>
        <v>5170.99</v>
      </c>
      <c r="N63" s="33">
        <f t="shared" si="25"/>
        <v>14950.73</v>
      </c>
      <c r="O63" s="33"/>
      <c r="P63" s="6"/>
    </row>
    <row r="64" spans="2:17" ht="15.75" customHeight="1" x14ac:dyDescent="0.25">
      <c r="B64" s="89" t="s">
        <v>69</v>
      </c>
      <c r="C64" s="9" t="s">
        <v>41</v>
      </c>
      <c r="D64" s="16">
        <v>5000000</v>
      </c>
      <c r="E64" s="17">
        <v>37337</v>
      </c>
      <c r="F64" s="17"/>
      <c r="G64" s="16" t="s">
        <v>21</v>
      </c>
      <c r="H64" s="20">
        <v>3.5000000000000001E-3</v>
      </c>
      <c r="I64" s="16">
        <v>0</v>
      </c>
      <c r="J64" s="19"/>
      <c r="K64" s="20"/>
      <c r="L64" s="16">
        <v>0</v>
      </c>
      <c r="M64" s="16">
        <v>92499.78</v>
      </c>
      <c r="N64" s="16">
        <v>38809.279999999999</v>
      </c>
      <c r="O64" s="16"/>
      <c r="P64" s="6"/>
    </row>
    <row r="65" spans="2:16" ht="15" customHeight="1" x14ac:dyDescent="0.25">
      <c r="B65" s="90"/>
      <c r="C65" s="15" t="s">
        <v>28</v>
      </c>
      <c r="D65" s="16">
        <v>7000000</v>
      </c>
      <c r="E65" s="17">
        <v>44411</v>
      </c>
      <c r="F65" s="17"/>
      <c r="G65" s="16" t="s">
        <v>54</v>
      </c>
      <c r="H65" s="20">
        <v>2.5000000000000001E-3</v>
      </c>
      <c r="I65" s="16">
        <v>7000000</v>
      </c>
      <c r="J65" s="19"/>
      <c r="K65" s="20"/>
      <c r="L65" s="16">
        <v>0</v>
      </c>
      <c r="M65" s="16">
        <v>193182.66</v>
      </c>
      <c r="N65" s="16">
        <v>43340.56</v>
      </c>
      <c r="O65" s="16"/>
      <c r="P65" s="6"/>
    </row>
    <row r="66" spans="2:16" ht="15" customHeight="1" x14ac:dyDescent="0.25">
      <c r="B66" s="90"/>
      <c r="C66" s="60" t="s">
        <v>37</v>
      </c>
      <c r="D66" s="16">
        <v>9500000</v>
      </c>
      <c r="E66" s="17">
        <v>38882</v>
      </c>
      <c r="F66" s="17"/>
      <c r="G66" s="16" t="s">
        <v>20</v>
      </c>
      <c r="H66" s="20">
        <v>3.5000000000000001E-3</v>
      </c>
      <c r="I66" s="16">
        <v>0</v>
      </c>
      <c r="J66" s="19"/>
      <c r="K66" s="20"/>
      <c r="L66" s="16">
        <v>0</v>
      </c>
      <c r="M66" s="16">
        <v>14996.1</v>
      </c>
      <c r="N66" s="16">
        <v>36519.040000000001</v>
      </c>
      <c r="O66" s="16"/>
      <c r="P66" s="6"/>
    </row>
    <row r="67" spans="2:16" ht="15" customHeight="1" x14ac:dyDescent="0.25">
      <c r="B67" s="90"/>
      <c r="C67" s="15" t="s">
        <v>57</v>
      </c>
      <c r="D67" s="16">
        <v>10000000</v>
      </c>
      <c r="E67" s="17">
        <v>37253</v>
      </c>
      <c r="F67" s="17"/>
      <c r="G67" s="16" t="s">
        <v>54</v>
      </c>
      <c r="H67" s="20">
        <v>4.0000000000000001E-3</v>
      </c>
      <c r="I67" s="16">
        <v>0</v>
      </c>
      <c r="J67" s="19"/>
      <c r="K67" s="20"/>
      <c r="L67" s="16">
        <v>0</v>
      </c>
      <c r="M67" s="16">
        <v>249575.92</v>
      </c>
      <c r="N67" s="16">
        <v>76495.25</v>
      </c>
      <c r="O67" s="16"/>
      <c r="P67" s="6"/>
    </row>
    <row r="68" spans="2:16" ht="15" customHeight="1" x14ac:dyDescent="0.25">
      <c r="B68" s="90"/>
      <c r="C68" s="15" t="s">
        <v>23</v>
      </c>
      <c r="D68" s="16">
        <v>9000000</v>
      </c>
      <c r="E68" s="17">
        <v>37695</v>
      </c>
      <c r="F68" s="17"/>
      <c r="G68" s="16" t="s">
        <v>54</v>
      </c>
      <c r="H68" s="20">
        <v>6.0000000000000001E-3</v>
      </c>
      <c r="I68" s="16">
        <v>5150000</v>
      </c>
      <c r="J68" s="19"/>
      <c r="K68" s="20"/>
      <c r="L68" s="16">
        <v>0</v>
      </c>
      <c r="M68" s="16">
        <v>125942.87</v>
      </c>
      <c r="N68" s="16">
        <v>46925.100000000006</v>
      </c>
      <c r="O68" s="16"/>
      <c r="P68" s="6"/>
    </row>
    <row r="69" spans="2:16" ht="15" customHeight="1" x14ac:dyDescent="0.25">
      <c r="B69" s="90"/>
      <c r="C69" s="15" t="s">
        <v>22</v>
      </c>
      <c r="D69" s="16">
        <v>8000000</v>
      </c>
      <c r="E69" s="17">
        <v>40283</v>
      </c>
      <c r="F69" s="17"/>
      <c r="G69" s="16" t="s">
        <v>35</v>
      </c>
      <c r="H69" s="20">
        <v>6.0000000000000001E-3</v>
      </c>
      <c r="I69" s="16">
        <v>0</v>
      </c>
      <c r="J69" s="19"/>
      <c r="K69" s="20"/>
      <c r="L69" s="16">
        <v>0</v>
      </c>
      <c r="M69" s="16">
        <v>15426.08</v>
      </c>
      <c r="N69" s="16">
        <v>55701.439999999995</v>
      </c>
      <c r="O69" s="16"/>
      <c r="P69" s="6"/>
    </row>
    <row r="70" spans="2:16" ht="15" customHeight="1" x14ac:dyDescent="0.25">
      <c r="B70" s="90"/>
      <c r="C70" s="9" t="s">
        <v>45</v>
      </c>
      <c r="D70" s="16">
        <v>9000000</v>
      </c>
      <c r="E70" s="17">
        <v>43243</v>
      </c>
      <c r="F70" s="17"/>
      <c r="G70" s="16" t="s">
        <v>21</v>
      </c>
      <c r="H70" s="20">
        <v>6.0000000000000001E-3</v>
      </c>
      <c r="I70" s="16">
        <v>0</v>
      </c>
      <c r="J70" s="19"/>
      <c r="K70" s="20"/>
      <c r="L70" s="16">
        <v>0</v>
      </c>
      <c r="M70" s="16">
        <v>0</v>
      </c>
      <c r="N70" s="16">
        <v>14063.44</v>
      </c>
      <c r="O70" s="16"/>
      <c r="P70" s="6"/>
    </row>
    <row r="71" spans="2:16" ht="15" customHeight="1" x14ac:dyDescent="0.25">
      <c r="B71" s="90"/>
      <c r="C71" s="15" t="s">
        <v>28</v>
      </c>
      <c r="D71" s="16">
        <v>9000000</v>
      </c>
      <c r="E71" s="17">
        <v>45540</v>
      </c>
      <c r="F71" s="17"/>
      <c r="G71" s="16" t="s">
        <v>54</v>
      </c>
      <c r="H71" s="20">
        <v>2.5000000000000001E-3</v>
      </c>
      <c r="I71" s="16">
        <v>0</v>
      </c>
      <c r="J71" s="19"/>
      <c r="K71" s="20"/>
      <c r="L71" s="16">
        <v>5480000</v>
      </c>
      <c r="M71" s="16">
        <v>97981.7</v>
      </c>
      <c r="N71" s="16">
        <v>23901.22</v>
      </c>
      <c r="O71" s="16"/>
      <c r="P71" s="6"/>
    </row>
    <row r="72" spans="2:16" ht="15" customHeight="1" x14ac:dyDescent="0.25">
      <c r="B72" s="90"/>
      <c r="C72" s="15" t="s">
        <v>109</v>
      </c>
      <c r="D72" s="16">
        <v>60000000</v>
      </c>
      <c r="E72" s="17">
        <v>44008</v>
      </c>
      <c r="F72" s="17">
        <v>45834</v>
      </c>
      <c r="G72" s="16" t="s">
        <v>79</v>
      </c>
      <c r="H72" s="17"/>
      <c r="I72" s="16">
        <v>0</v>
      </c>
      <c r="J72" s="19"/>
      <c r="K72" s="20"/>
      <c r="L72" s="16">
        <v>0</v>
      </c>
      <c r="M72" s="16">
        <v>0</v>
      </c>
      <c r="N72" s="16">
        <v>0</v>
      </c>
      <c r="O72" s="16"/>
      <c r="P72" s="6"/>
    </row>
    <row r="73" spans="2:16" ht="15" customHeight="1" x14ac:dyDescent="0.25">
      <c r="B73" s="90"/>
      <c r="C73" s="15" t="s">
        <v>157</v>
      </c>
      <c r="D73" s="16">
        <v>30000000</v>
      </c>
      <c r="E73" s="17">
        <v>42704</v>
      </c>
      <c r="F73" s="17">
        <v>45626</v>
      </c>
      <c r="G73" s="16" t="s">
        <v>79</v>
      </c>
      <c r="H73" s="17"/>
      <c r="I73" s="16">
        <v>0</v>
      </c>
      <c r="J73" s="19"/>
      <c r="K73" s="20"/>
      <c r="L73" s="16">
        <v>0</v>
      </c>
      <c r="M73" s="16">
        <v>54250</v>
      </c>
      <c r="N73" s="16">
        <v>2015</v>
      </c>
      <c r="O73" s="16"/>
      <c r="P73" s="6"/>
    </row>
    <row r="74" spans="2:16" ht="15" customHeight="1" x14ac:dyDescent="0.25">
      <c r="B74" s="90"/>
      <c r="C74" s="15" t="s">
        <v>158</v>
      </c>
      <c r="D74" s="16">
        <v>20000000</v>
      </c>
      <c r="E74" s="17">
        <v>43955</v>
      </c>
      <c r="F74" s="17">
        <v>45781</v>
      </c>
      <c r="G74" s="16" t="s">
        <v>79</v>
      </c>
      <c r="H74" s="17"/>
      <c r="I74" s="16">
        <v>0</v>
      </c>
      <c r="J74" s="19"/>
      <c r="K74" s="20"/>
      <c r="L74" s="16">
        <v>0</v>
      </c>
      <c r="M74" s="16">
        <v>0</v>
      </c>
      <c r="N74" s="16">
        <v>12367.21</v>
      </c>
      <c r="O74" s="16"/>
      <c r="P74" s="6"/>
    </row>
    <row r="75" spans="2:16" ht="15" customHeight="1" x14ac:dyDescent="0.25">
      <c r="B75" s="90"/>
      <c r="C75" s="9" t="s">
        <v>159</v>
      </c>
      <c r="D75" s="16">
        <v>15000000</v>
      </c>
      <c r="E75" s="17">
        <v>44915</v>
      </c>
      <c r="F75" s="17">
        <v>46741</v>
      </c>
      <c r="G75" s="16" t="s">
        <v>79</v>
      </c>
      <c r="H75" s="20"/>
      <c r="I75" s="16">
        <v>0</v>
      </c>
      <c r="J75" s="19"/>
      <c r="K75" s="20"/>
      <c r="L75" s="16">
        <v>0</v>
      </c>
      <c r="M75" s="16">
        <v>0</v>
      </c>
      <c r="N75" s="16">
        <v>8046.58</v>
      </c>
      <c r="O75" s="16"/>
      <c r="P75" s="6"/>
    </row>
    <row r="76" spans="2:16" ht="15.75" customHeight="1" x14ac:dyDescent="0.25">
      <c r="B76" s="23"/>
      <c r="C76" s="33" t="s">
        <v>46</v>
      </c>
      <c r="D76" s="25">
        <f>SUM(D64:D75)</f>
        <v>191500000</v>
      </c>
      <c r="E76" s="25"/>
      <c r="F76" s="52"/>
      <c r="G76" s="52"/>
      <c r="H76" s="52"/>
      <c r="I76" s="33">
        <f t="shared" ref="I76:N76" si="26">SUM(I64:I75)</f>
        <v>12150000</v>
      </c>
      <c r="J76" s="33">
        <f t="shared" si="26"/>
        <v>0</v>
      </c>
      <c r="K76" s="33">
        <f t="shared" si="26"/>
        <v>0</v>
      </c>
      <c r="L76" s="33">
        <f t="shared" si="26"/>
        <v>5480000</v>
      </c>
      <c r="M76" s="33">
        <f t="shared" si="26"/>
        <v>843855.10999999987</v>
      </c>
      <c r="N76" s="33">
        <f t="shared" si="26"/>
        <v>358184.12</v>
      </c>
      <c r="O76" s="33"/>
      <c r="P76" s="6"/>
    </row>
    <row r="77" spans="2:16" ht="15.75" customHeight="1" x14ac:dyDescent="0.25">
      <c r="B77" s="94" t="s">
        <v>138</v>
      </c>
      <c r="C77" s="9" t="s">
        <v>22</v>
      </c>
      <c r="D77" s="16">
        <v>4100000</v>
      </c>
      <c r="E77" s="17">
        <v>41716</v>
      </c>
      <c r="F77" s="17">
        <v>45360</v>
      </c>
      <c r="G77" s="16" t="s">
        <v>21</v>
      </c>
      <c r="H77" s="20">
        <v>6.5000000000000002E-2</v>
      </c>
      <c r="I77" s="16">
        <v>650000</v>
      </c>
      <c r="J77" s="16">
        <v>650000</v>
      </c>
      <c r="K77" s="16">
        <v>0</v>
      </c>
      <c r="L77" s="16">
        <f t="shared" ref="L77:L79" si="27">I77-J77+K77</f>
        <v>0</v>
      </c>
      <c r="M77" s="16">
        <v>8332.56</v>
      </c>
      <c r="N77" s="16">
        <v>0</v>
      </c>
      <c r="O77" s="17"/>
      <c r="P77" s="6"/>
    </row>
    <row r="78" spans="2:16" ht="15.75" customHeight="1" x14ac:dyDescent="0.25">
      <c r="B78" s="95"/>
      <c r="C78" s="9" t="s">
        <v>22</v>
      </c>
      <c r="D78" s="16">
        <v>200000</v>
      </c>
      <c r="E78" s="17"/>
      <c r="F78" s="17"/>
      <c r="G78" s="16" t="s">
        <v>21</v>
      </c>
      <c r="H78" s="20">
        <v>6.5000000000000002E-2</v>
      </c>
      <c r="I78" s="16">
        <v>0</v>
      </c>
      <c r="J78" s="16">
        <v>0</v>
      </c>
      <c r="K78" s="16">
        <v>0</v>
      </c>
      <c r="L78" s="16">
        <f t="shared" si="27"/>
        <v>0</v>
      </c>
      <c r="M78" s="16">
        <v>0</v>
      </c>
      <c r="N78" s="16">
        <v>0</v>
      </c>
      <c r="O78" s="17"/>
      <c r="P78" s="6"/>
    </row>
    <row r="79" spans="2:16" ht="15.75" customHeight="1" x14ac:dyDescent="0.25">
      <c r="B79" s="96"/>
      <c r="C79" s="9" t="s">
        <v>22</v>
      </c>
      <c r="D79" s="16">
        <v>10000</v>
      </c>
      <c r="E79" s="17"/>
      <c r="F79" s="17">
        <v>46538</v>
      </c>
      <c r="G79" s="19"/>
      <c r="H79" s="20">
        <v>0</v>
      </c>
      <c r="I79" s="16">
        <v>6694.87</v>
      </c>
      <c r="J79" s="16">
        <v>30114.240000000002</v>
      </c>
      <c r="K79" s="16">
        <v>23419.37</v>
      </c>
      <c r="L79" s="16">
        <f t="shared" si="27"/>
        <v>0</v>
      </c>
      <c r="M79" s="16">
        <v>0</v>
      </c>
      <c r="N79" s="16">
        <v>0</v>
      </c>
      <c r="O79" s="17"/>
      <c r="P79" s="6"/>
    </row>
    <row r="80" spans="2:16" ht="15.75" customHeight="1" x14ac:dyDescent="0.25">
      <c r="B80" s="23"/>
      <c r="C80" s="33" t="s">
        <v>46</v>
      </c>
      <c r="D80" s="25">
        <f>SUM(D77:D79)</f>
        <v>4310000</v>
      </c>
      <c r="E80" s="25"/>
      <c r="F80" s="52"/>
      <c r="G80" s="52"/>
      <c r="H80" s="52"/>
      <c r="I80" s="25">
        <f t="shared" ref="I80:N80" si="28">SUM(I77:I79)</f>
        <v>656694.87</v>
      </c>
      <c r="J80" s="25">
        <f t="shared" si="28"/>
        <v>680114.24</v>
      </c>
      <c r="K80" s="25">
        <f t="shared" si="28"/>
        <v>23419.37</v>
      </c>
      <c r="L80" s="25">
        <f t="shared" si="28"/>
        <v>0</v>
      </c>
      <c r="M80" s="25">
        <f t="shared" si="28"/>
        <v>8332.56</v>
      </c>
      <c r="N80" s="25">
        <f t="shared" si="28"/>
        <v>0</v>
      </c>
      <c r="O80" s="25"/>
      <c r="P80" s="6"/>
    </row>
    <row r="81" spans="2:16" ht="15.75" customHeight="1" x14ac:dyDescent="0.25">
      <c r="B81" s="26" t="s">
        <v>160</v>
      </c>
      <c r="C81" s="34" t="s">
        <v>41</v>
      </c>
      <c r="D81" s="69">
        <v>15000</v>
      </c>
      <c r="E81" s="70">
        <v>44238</v>
      </c>
      <c r="F81" s="17" t="s">
        <v>80</v>
      </c>
      <c r="G81" s="19"/>
      <c r="H81" s="65"/>
      <c r="I81" s="69">
        <v>1674.66</v>
      </c>
      <c r="J81" s="69">
        <v>29156.62</v>
      </c>
      <c r="K81" s="69">
        <v>29230.71</v>
      </c>
      <c r="L81" s="69">
        <v>1748.75</v>
      </c>
      <c r="M81" s="69">
        <v>0</v>
      </c>
      <c r="N81" s="69">
        <f>12+14.56</f>
        <v>26.560000000000002</v>
      </c>
      <c r="O81" s="69"/>
      <c r="P81" s="6"/>
    </row>
    <row r="82" spans="2:16" ht="15.75" customHeight="1" x14ac:dyDescent="0.25">
      <c r="B82" s="23"/>
      <c r="C82" s="33" t="s">
        <v>46</v>
      </c>
      <c r="D82" s="25">
        <f>SUM(D81)</f>
        <v>15000</v>
      </c>
      <c r="E82" s="25"/>
      <c r="F82" s="52"/>
      <c r="G82" s="52"/>
      <c r="H82" s="52"/>
      <c r="I82" s="25">
        <f t="shared" ref="I82:N82" si="29">SUM(I81)</f>
        <v>1674.66</v>
      </c>
      <c r="J82" s="25">
        <f t="shared" si="29"/>
        <v>29156.62</v>
      </c>
      <c r="K82" s="25">
        <f t="shared" si="29"/>
        <v>29230.71</v>
      </c>
      <c r="L82" s="25">
        <f t="shared" si="29"/>
        <v>1748.75</v>
      </c>
      <c r="M82" s="25">
        <f t="shared" si="29"/>
        <v>0</v>
      </c>
      <c r="N82" s="25">
        <f t="shared" si="29"/>
        <v>26.560000000000002</v>
      </c>
      <c r="O82" s="25"/>
      <c r="P82" s="6"/>
    </row>
    <row r="83" spans="2:16" ht="15.75" customHeight="1" x14ac:dyDescent="0.25">
      <c r="B83" s="23"/>
      <c r="C83" s="24" t="s">
        <v>71</v>
      </c>
      <c r="D83" s="25">
        <f>D11</f>
        <v>450000000</v>
      </c>
      <c r="E83" s="25"/>
      <c r="F83" s="25"/>
      <c r="G83" s="25"/>
      <c r="H83" s="25"/>
      <c r="I83" s="25">
        <f t="shared" ref="I83:N83" si="30">I11</f>
        <v>0</v>
      </c>
      <c r="J83" s="25">
        <f t="shared" si="30"/>
        <v>354862500</v>
      </c>
      <c r="K83" s="25">
        <f t="shared" si="30"/>
        <v>439562500</v>
      </c>
      <c r="L83" s="25">
        <f t="shared" si="30"/>
        <v>84700000</v>
      </c>
      <c r="M83" s="25">
        <f t="shared" si="30"/>
        <v>3397113.73</v>
      </c>
      <c r="N83" s="25">
        <f t="shared" si="30"/>
        <v>234042.23999999999</v>
      </c>
      <c r="O83" s="33"/>
      <c r="P83" s="6"/>
    </row>
    <row r="84" spans="2:16" ht="15.75" customHeight="1" x14ac:dyDescent="0.25">
      <c r="B84" s="23"/>
      <c r="C84" s="24" t="s">
        <v>72</v>
      </c>
      <c r="D84" s="25">
        <f>D18+D25+D28+D31+D33+D39+D41+D43+D13</f>
        <v>10994000</v>
      </c>
      <c r="E84" s="25"/>
      <c r="F84" s="25"/>
      <c r="G84" s="25"/>
      <c r="H84" s="25"/>
      <c r="I84" s="25">
        <f t="shared" ref="I84:N84" si="31">I18+I25+I28+I31+I33+I39+I41+I43+I13</f>
        <v>4364762.74</v>
      </c>
      <c r="J84" s="25">
        <f t="shared" si="31"/>
        <v>12144894.050000001</v>
      </c>
      <c r="K84" s="25">
        <f t="shared" si="31"/>
        <v>14816929.33</v>
      </c>
      <c r="L84" s="25">
        <f t="shared" si="31"/>
        <v>7035003.5200000005</v>
      </c>
      <c r="M84" s="25">
        <f t="shared" si="31"/>
        <v>188071.46999999997</v>
      </c>
      <c r="N84" s="25">
        <f t="shared" si="31"/>
        <v>40418.130000000005</v>
      </c>
      <c r="O84" s="33"/>
      <c r="P84" s="6"/>
    </row>
    <row r="85" spans="2:16" ht="15.75" customHeight="1" x14ac:dyDescent="0.25">
      <c r="B85" s="23"/>
      <c r="C85" s="24" t="s">
        <v>73</v>
      </c>
      <c r="D85" s="25">
        <f>D76+D63+D58+D53+D51+D47</f>
        <v>225533364.71000001</v>
      </c>
      <c r="E85" s="25"/>
      <c r="F85" s="25"/>
      <c r="G85" s="25"/>
      <c r="H85" s="25"/>
      <c r="I85" s="25">
        <f t="shared" ref="I85:N85" si="32">I76+I63+I58+I53+I51+I47</f>
        <v>31301489.399999999</v>
      </c>
      <c r="J85" s="25">
        <f t="shared" si="32"/>
        <v>44243453.509999998</v>
      </c>
      <c r="K85" s="25">
        <f t="shared" si="32"/>
        <v>33569710.25</v>
      </c>
      <c r="L85" s="25">
        <f t="shared" si="32"/>
        <v>13957742.140000001</v>
      </c>
      <c r="M85" s="25">
        <f t="shared" si="32"/>
        <v>1161579.2105146497</v>
      </c>
      <c r="N85" s="25">
        <f t="shared" si="32"/>
        <v>438135.68002058595</v>
      </c>
      <c r="O85" s="33"/>
      <c r="P85" s="6"/>
    </row>
    <row r="86" spans="2:16" ht="15.75" customHeight="1" x14ac:dyDescent="0.25">
      <c r="B86" s="23"/>
      <c r="C86" s="24" t="s">
        <v>135</v>
      </c>
      <c r="D86" s="25">
        <f>D80+D82</f>
        <v>4325000</v>
      </c>
      <c r="E86" s="25"/>
      <c r="F86" s="25"/>
      <c r="G86" s="25"/>
      <c r="H86" s="25"/>
      <c r="I86" s="25">
        <f t="shared" ref="I86:N86" si="33">I80+I82</f>
        <v>658369.53</v>
      </c>
      <c r="J86" s="25">
        <f t="shared" si="33"/>
        <v>709270.86</v>
      </c>
      <c r="K86" s="25">
        <f t="shared" si="33"/>
        <v>52650.080000000002</v>
      </c>
      <c r="L86" s="25">
        <f t="shared" si="33"/>
        <v>1748.75</v>
      </c>
      <c r="M86" s="25">
        <f t="shared" si="33"/>
        <v>8332.56</v>
      </c>
      <c r="N86" s="25">
        <f t="shared" si="33"/>
        <v>26.560000000000002</v>
      </c>
      <c r="O86" s="33"/>
      <c r="P86" s="6"/>
    </row>
    <row r="87" spans="2:16" ht="15.75" customHeight="1" x14ac:dyDescent="0.25">
      <c r="B87" s="23"/>
      <c r="C87" s="24" t="s">
        <v>136</v>
      </c>
      <c r="D87" s="25">
        <f>D84+D85+D86</f>
        <v>240852364.71000001</v>
      </c>
      <c r="E87" s="25"/>
      <c r="F87" s="25"/>
      <c r="G87" s="25"/>
      <c r="H87" s="25"/>
      <c r="I87" s="25">
        <f t="shared" ref="I87:N87" si="34">I84+I85+I86</f>
        <v>36324621.670000002</v>
      </c>
      <c r="J87" s="25">
        <f t="shared" si="34"/>
        <v>57097618.420000002</v>
      </c>
      <c r="K87" s="25">
        <f t="shared" si="34"/>
        <v>48439289.659999996</v>
      </c>
      <c r="L87" s="25">
        <f t="shared" si="34"/>
        <v>20994494.41</v>
      </c>
      <c r="M87" s="25">
        <f t="shared" si="34"/>
        <v>1357983.2405146498</v>
      </c>
      <c r="N87" s="25">
        <f t="shared" si="34"/>
        <v>478580.37002058595</v>
      </c>
      <c r="O87" s="33"/>
      <c r="P87" s="6"/>
    </row>
    <row r="88" spans="2:16" ht="15.75" customHeight="1" x14ac:dyDescent="0.25">
      <c r="B88" s="23"/>
      <c r="C88" s="24" t="s">
        <v>137</v>
      </c>
      <c r="D88" s="25">
        <f>D87+D83</f>
        <v>690852364.71000004</v>
      </c>
      <c r="E88" s="25"/>
      <c r="F88" s="25"/>
      <c r="G88" s="25"/>
      <c r="H88" s="25"/>
      <c r="I88" s="25">
        <f t="shared" ref="I88:N88" si="35">I87+I83</f>
        <v>36324621.670000002</v>
      </c>
      <c r="J88" s="25">
        <f t="shared" si="35"/>
        <v>411960118.42000002</v>
      </c>
      <c r="K88" s="25">
        <f t="shared" si="35"/>
        <v>488001789.65999997</v>
      </c>
      <c r="L88" s="25">
        <f t="shared" si="35"/>
        <v>105694494.41</v>
      </c>
      <c r="M88" s="25">
        <f t="shared" si="35"/>
        <v>4755096.9705146495</v>
      </c>
      <c r="N88" s="25">
        <f t="shared" si="35"/>
        <v>712622.61002058594</v>
      </c>
      <c r="O88" s="33"/>
      <c r="P88" s="6"/>
    </row>
    <row r="89" spans="2:16" x14ac:dyDescent="0.25">
      <c r="P89" s="6"/>
    </row>
    <row r="90" spans="2:16" x14ac:dyDescent="0.25">
      <c r="H90" s="1"/>
      <c r="P90" s="6"/>
    </row>
    <row r="91" spans="2:16" x14ac:dyDescent="0.25">
      <c r="H91" s="1"/>
      <c r="P91" s="6"/>
    </row>
    <row r="92" spans="2:16" x14ac:dyDescent="0.25">
      <c r="H92" s="1"/>
      <c r="L92" s="6"/>
      <c r="P92" s="6"/>
    </row>
    <row r="93" spans="2:16" x14ac:dyDescent="0.25">
      <c r="H93" s="1"/>
      <c r="L93" s="6"/>
      <c r="P93" s="6"/>
    </row>
    <row r="94" spans="2:16" x14ac:dyDescent="0.25">
      <c r="H94" s="1"/>
      <c r="L94" s="6"/>
      <c r="P94" s="6"/>
    </row>
    <row r="95" spans="2:16" x14ac:dyDescent="0.25">
      <c r="P95" s="6"/>
    </row>
    <row r="96" spans="2:16" x14ac:dyDescent="0.25">
      <c r="P96" s="6"/>
    </row>
    <row r="97" spans="16:16" x14ac:dyDescent="0.25">
      <c r="P97" s="6"/>
    </row>
    <row r="98" spans="16:16" x14ac:dyDescent="0.25">
      <c r="P98" s="6"/>
    </row>
    <row r="99" spans="16:16" x14ac:dyDescent="0.25">
      <c r="P99" s="6"/>
    </row>
    <row r="100" spans="16:16" x14ac:dyDescent="0.25">
      <c r="P100" s="6"/>
    </row>
    <row r="101" spans="16:16" x14ac:dyDescent="0.25">
      <c r="P101" s="6"/>
    </row>
    <row r="102" spans="16:16" x14ac:dyDescent="0.25">
      <c r="P102" s="6"/>
    </row>
    <row r="103" spans="16:16" x14ac:dyDescent="0.25">
      <c r="P103" s="6"/>
    </row>
    <row r="104" spans="16:16" x14ac:dyDescent="0.25">
      <c r="P104" s="6"/>
    </row>
    <row r="105" spans="16:16" x14ac:dyDescent="0.25">
      <c r="P105" s="6"/>
    </row>
    <row r="106" spans="16:16" x14ac:dyDescent="0.25">
      <c r="P106" s="6"/>
    </row>
    <row r="107" spans="16:16" x14ac:dyDescent="0.25">
      <c r="P107" s="6"/>
    </row>
    <row r="108" spans="16:16" x14ac:dyDescent="0.25">
      <c r="P108" s="6"/>
    </row>
    <row r="109" spans="16:16" x14ac:dyDescent="0.25">
      <c r="P109" s="6"/>
    </row>
    <row r="110" spans="16:16" x14ac:dyDescent="0.25">
      <c r="P110" s="6"/>
    </row>
    <row r="111" spans="16:16" x14ac:dyDescent="0.25">
      <c r="P111" s="6"/>
    </row>
    <row r="112" spans="16:16" x14ac:dyDescent="0.25">
      <c r="P112" s="6"/>
    </row>
    <row r="113" spans="16:16" x14ac:dyDescent="0.25">
      <c r="P113" s="6"/>
    </row>
    <row r="114" spans="16:16" x14ac:dyDescent="0.25">
      <c r="P114" s="6"/>
    </row>
    <row r="115" spans="16:16" x14ac:dyDescent="0.25">
      <c r="P115" s="6"/>
    </row>
    <row r="116" spans="16:16" x14ac:dyDescent="0.25">
      <c r="P116" s="6"/>
    </row>
    <row r="117" spans="16:16" x14ac:dyDescent="0.25">
      <c r="P117" s="6"/>
    </row>
    <row r="118" spans="16:16" x14ac:dyDescent="0.25">
      <c r="P118" s="6"/>
    </row>
    <row r="119" spans="16:16" x14ac:dyDescent="0.25">
      <c r="P119" s="6"/>
    </row>
    <row r="120" spans="16:16" x14ac:dyDescent="0.25">
      <c r="P120" s="6"/>
    </row>
    <row r="121" spans="16:16" x14ac:dyDescent="0.25">
      <c r="P121" s="6"/>
    </row>
    <row r="122" spans="16:16" x14ac:dyDescent="0.25">
      <c r="P122" s="6"/>
    </row>
    <row r="123" spans="16:16" x14ac:dyDescent="0.25">
      <c r="P123" s="6"/>
    </row>
    <row r="124" spans="16:16" x14ac:dyDescent="0.25">
      <c r="P124" s="6"/>
    </row>
    <row r="125" spans="16:16" x14ac:dyDescent="0.25">
      <c r="P125" s="6"/>
    </row>
    <row r="126" spans="16:16" x14ac:dyDescent="0.25">
      <c r="P126" s="6"/>
    </row>
    <row r="127" spans="16:16" x14ac:dyDescent="0.25">
      <c r="P127" s="6"/>
    </row>
    <row r="128" spans="16:16" x14ac:dyDescent="0.25">
      <c r="P128" s="6"/>
    </row>
    <row r="129" spans="16:16" x14ac:dyDescent="0.25">
      <c r="P129" s="6"/>
    </row>
    <row r="130" spans="16:16" x14ac:dyDescent="0.25">
      <c r="P130" s="6"/>
    </row>
    <row r="131" spans="16:16" x14ac:dyDescent="0.25">
      <c r="P131" s="6"/>
    </row>
    <row r="132" spans="16:16" x14ac:dyDescent="0.25">
      <c r="P132" s="6"/>
    </row>
    <row r="133" spans="16:16" x14ac:dyDescent="0.25">
      <c r="P133" s="6"/>
    </row>
    <row r="134" spans="16:16" x14ac:dyDescent="0.25">
      <c r="P134" s="6"/>
    </row>
    <row r="135" spans="16:16" x14ac:dyDescent="0.25">
      <c r="P135" s="6"/>
    </row>
    <row r="136" spans="16:16" x14ac:dyDescent="0.25">
      <c r="P136" s="6"/>
    </row>
    <row r="137" spans="16:16" x14ac:dyDescent="0.25">
      <c r="P137" s="6"/>
    </row>
    <row r="138" spans="16:16" x14ac:dyDescent="0.25">
      <c r="P138" s="6"/>
    </row>
    <row r="139" spans="16:16" x14ac:dyDescent="0.25">
      <c r="P139" s="6"/>
    </row>
    <row r="140" spans="16:16" x14ac:dyDescent="0.25">
      <c r="P140" s="6"/>
    </row>
    <row r="141" spans="16:16" x14ac:dyDescent="0.25">
      <c r="P141" s="6"/>
    </row>
    <row r="142" spans="16:16" x14ac:dyDescent="0.25">
      <c r="P142" s="6"/>
    </row>
    <row r="143" spans="16:16" x14ac:dyDescent="0.25">
      <c r="P143" s="6"/>
    </row>
    <row r="144" spans="16:16" x14ac:dyDescent="0.25">
      <c r="P144" s="6"/>
    </row>
    <row r="145" spans="16:16" x14ac:dyDescent="0.25">
      <c r="P145" s="6"/>
    </row>
    <row r="146" spans="16:16" x14ac:dyDescent="0.25">
      <c r="P146" s="6"/>
    </row>
    <row r="147" spans="16:16" x14ac:dyDescent="0.25">
      <c r="P147" s="6"/>
    </row>
    <row r="148" spans="16:16" x14ac:dyDescent="0.25">
      <c r="P148" s="6"/>
    </row>
    <row r="149" spans="16:16" x14ac:dyDescent="0.25">
      <c r="P149" s="6"/>
    </row>
    <row r="150" spans="16:16" x14ac:dyDescent="0.25">
      <c r="P150" s="6"/>
    </row>
    <row r="151" spans="16:16" x14ac:dyDescent="0.25">
      <c r="P151" s="6"/>
    </row>
    <row r="152" spans="16:16" x14ac:dyDescent="0.25">
      <c r="P152" s="6"/>
    </row>
    <row r="153" spans="16:16" x14ac:dyDescent="0.25">
      <c r="P153" s="6"/>
    </row>
    <row r="154" spans="16:16" x14ac:dyDescent="0.25">
      <c r="P154" s="6"/>
    </row>
    <row r="155" spans="16:16" x14ac:dyDescent="0.25">
      <c r="P155" s="6"/>
    </row>
    <row r="156" spans="16:16" x14ac:dyDescent="0.25">
      <c r="P156" s="6"/>
    </row>
    <row r="157" spans="16:16" x14ac:dyDescent="0.25">
      <c r="P157" s="6"/>
    </row>
    <row r="158" spans="16:16" x14ac:dyDescent="0.25">
      <c r="P158" s="6"/>
    </row>
    <row r="159" spans="16:16" x14ac:dyDescent="0.25">
      <c r="P159" s="6"/>
    </row>
    <row r="160" spans="16:16" x14ac:dyDescent="0.25">
      <c r="P160" s="6"/>
    </row>
    <row r="161" spans="16:16" x14ac:dyDescent="0.25">
      <c r="P161" s="6"/>
    </row>
    <row r="162" spans="16:16" x14ac:dyDescent="0.25">
      <c r="P162" s="6"/>
    </row>
    <row r="163" spans="16:16" x14ac:dyDescent="0.25">
      <c r="P163" s="6"/>
    </row>
    <row r="164" spans="16:16" x14ac:dyDescent="0.25">
      <c r="P164" s="6"/>
    </row>
    <row r="165" spans="16:16" x14ac:dyDescent="0.25">
      <c r="P165" s="6"/>
    </row>
    <row r="166" spans="16:16" x14ac:dyDescent="0.25">
      <c r="P166" s="6"/>
    </row>
    <row r="167" spans="16:16" x14ac:dyDescent="0.25">
      <c r="P167" s="6"/>
    </row>
    <row r="168" spans="16:16" x14ac:dyDescent="0.25">
      <c r="P168" s="6"/>
    </row>
    <row r="169" spans="16:16" x14ac:dyDescent="0.25">
      <c r="P169" s="6"/>
    </row>
    <row r="170" spans="16:16" x14ac:dyDescent="0.25">
      <c r="P170" s="6"/>
    </row>
    <row r="171" spans="16:16" x14ac:dyDescent="0.25">
      <c r="P171" s="6"/>
    </row>
    <row r="172" spans="16:16" x14ac:dyDescent="0.25">
      <c r="P172" s="6"/>
    </row>
    <row r="173" spans="16:16" x14ac:dyDescent="0.25">
      <c r="P173" s="6"/>
    </row>
    <row r="174" spans="16:16" x14ac:dyDescent="0.25">
      <c r="P174" s="6"/>
    </row>
    <row r="175" spans="16:16" x14ac:dyDescent="0.25">
      <c r="P175" s="6"/>
    </row>
    <row r="176" spans="16:16" x14ac:dyDescent="0.25">
      <c r="P176" s="6"/>
    </row>
    <row r="177" spans="16:16" x14ac:dyDescent="0.25">
      <c r="P177" s="6"/>
    </row>
    <row r="178" spans="16:16" x14ac:dyDescent="0.25">
      <c r="P178" s="6"/>
    </row>
    <row r="179" spans="16:16" x14ac:dyDescent="0.25">
      <c r="P179" s="6"/>
    </row>
    <row r="180" spans="16:16" x14ac:dyDescent="0.25">
      <c r="P180" s="6"/>
    </row>
    <row r="181" spans="16:16" x14ac:dyDescent="0.25">
      <c r="P181" s="6"/>
    </row>
    <row r="182" spans="16:16" x14ac:dyDescent="0.25">
      <c r="P182" s="6"/>
    </row>
    <row r="183" spans="16:16" x14ac:dyDescent="0.25">
      <c r="P183" s="6"/>
    </row>
    <row r="184" spans="16:16" x14ac:dyDescent="0.25">
      <c r="P184" s="6"/>
    </row>
    <row r="185" spans="16:16" x14ac:dyDescent="0.25">
      <c r="P185" s="6"/>
    </row>
    <row r="186" spans="16:16" x14ac:dyDescent="0.25">
      <c r="P186" s="6"/>
    </row>
    <row r="187" spans="16:16" x14ac:dyDescent="0.25">
      <c r="P187" s="6"/>
    </row>
    <row r="188" spans="16:16" x14ac:dyDescent="0.25">
      <c r="P188" s="6"/>
    </row>
    <row r="189" spans="16:16" x14ac:dyDescent="0.25">
      <c r="P189" s="6"/>
    </row>
    <row r="190" spans="16:16" x14ac:dyDescent="0.25">
      <c r="P190" s="6"/>
    </row>
    <row r="191" spans="16:16" x14ac:dyDescent="0.25">
      <c r="P191" s="6"/>
    </row>
    <row r="192" spans="16:16" x14ac:dyDescent="0.25">
      <c r="P192" s="6"/>
    </row>
    <row r="193" spans="16:16" x14ac:dyDescent="0.25">
      <c r="P193" s="6"/>
    </row>
    <row r="194" spans="16:16" x14ac:dyDescent="0.25">
      <c r="P194" s="6"/>
    </row>
    <row r="195" spans="16:16" x14ac:dyDescent="0.25">
      <c r="P195" s="6"/>
    </row>
    <row r="196" spans="16:16" x14ac:dyDescent="0.25">
      <c r="P196" s="6"/>
    </row>
    <row r="197" spans="16:16" x14ac:dyDescent="0.25">
      <c r="P197" s="6"/>
    </row>
    <row r="198" spans="16:16" x14ac:dyDescent="0.25">
      <c r="P198" s="6"/>
    </row>
    <row r="199" spans="16:16" x14ac:dyDescent="0.25">
      <c r="P199" s="6"/>
    </row>
    <row r="200" spans="16:16" x14ac:dyDescent="0.25">
      <c r="P200" s="6"/>
    </row>
    <row r="201" spans="16:16" x14ac:dyDescent="0.25">
      <c r="P201" s="6"/>
    </row>
    <row r="202" spans="16:16" x14ac:dyDescent="0.25">
      <c r="P202" s="6"/>
    </row>
    <row r="203" spans="16:16" x14ac:dyDescent="0.25">
      <c r="P203" s="6"/>
    </row>
    <row r="204" spans="16:16" x14ac:dyDescent="0.25">
      <c r="P204" s="6"/>
    </row>
    <row r="205" spans="16:16" x14ac:dyDescent="0.25">
      <c r="P205" s="6"/>
    </row>
    <row r="206" spans="16:16" x14ac:dyDescent="0.25">
      <c r="P206" s="6"/>
    </row>
    <row r="207" spans="16:16" x14ac:dyDescent="0.25">
      <c r="P207" s="6"/>
    </row>
    <row r="208" spans="16:16" x14ac:dyDescent="0.25">
      <c r="P208" s="6"/>
    </row>
    <row r="209" spans="16:16" x14ac:dyDescent="0.25">
      <c r="P209" s="6"/>
    </row>
    <row r="210" spans="16:16" x14ac:dyDescent="0.25">
      <c r="P210" s="6"/>
    </row>
    <row r="211" spans="16:16" x14ac:dyDescent="0.25">
      <c r="P211" s="6"/>
    </row>
    <row r="212" spans="16:16" x14ac:dyDescent="0.25">
      <c r="P212" s="6"/>
    </row>
    <row r="213" spans="16:16" x14ac:dyDescent="0.25">
      <c r="P213" s="6"/>
    </row>
    <row r="214" spans="16:16" x14ac:dyDescent="0.25">
      <c r="P214" s="6"/>
    </row>
    <row r="215" spans="16:16" x14ac:dyDescent="0.25">
      <c r="P215" s="6"/>
    </row>
    <row r="216" spans="16:16" x14ac:dyDescent="0.25">
      <c r="P216" s="6"/>
    </row>
    <row r="217" spans="16:16" x14ac:dyDescent="0.25">
      <c r="P217" s="6"/>
    </row>
    <row r="218" spans="16:16" x14ac:dyDescent="0.25">
      <c r="P218" s="6"/>
    </row>
    <row r="219" spans="16:16" x14ac:dyDescent="0.25">
      <c r="P219" s="6"/>
    </row>
    <row r="220" spans="16:16" x14ac:dyDescent="0.25">
      <c r="P220" s="6"/>
    </row>
    <row r="221" spans="16:16" x14ac:dyDescent="0.25">
      <c r="P221" s="6"/>
    </row>
    <row r="222" spans="16:16" x14ac:dyDescent="0.25">
      <c r="P222" s="6"/>
    </row>
    <row r="223" spans="16:16" x14ac:dyDescent="0.25">
      <c r="P223" s="6"/>
    </row>
    <row r="224" spans="16:16" x14ac:dyDescent="0.25">
      <c r="P224" s="6"/>
    </row>
    <row r="225" spans="16:16" x14ac:dyDescent="0.25">
      <c r="P225" s="6"/>
    </row>
    <row r="226" spans="16:16" x14ac:dyDescent="0.25">
      <c r="P226" s="6"/>
    </row>
    <row r="227" spans="16:16" x14ac:dyDescent="0.25">
      <c r="P227" s="6"/>
    </row>
    <row r="228" spans="16:16" x14ac:dyDescent="0.25">
      <c r="P228" s="6"/>
    </row>
    <row r="229" spans="16:16" x14ac:dyDescent="0.25">
      <c r="P229" s="6"/>
    </row>
    <row r="230" spans="16:16" x14ac:dyDescent="0.25">
      <c r="P230" s="6"/>
    </row>
    <row r="231" spans="16:16" x14ac:dyDescent="0.25">
      <c r="P231" s="6"/>
    </row>
    <row r="232" spans="16:16" x14ac:dyDescent="0.25">
      <c r="P232" s="6"/>
    </row>
    <row r="233" spans="16:16" x14ac:dyDescent="0.25">
      <c r="P233" s="6"/>
    </row>
    <row r="234" spans="16:16" x14ac:dyDescent="0.25">
      <c r="P234" s="6"/>
    </row>
    <row r="235" spans="16:16" x14ac:dyDescent="0.25">
      <c r="P235" s="6"/>
    </row>
    <row r="236" spans="16:16" x14ac:dyDescent="0.25">
      <c r="P236" s="6"/>
    </row>
    <row r="237" spans="16:16" x14ac:dyDescent="0.25">
      <c r="P237" s="6"/>
    </row>
    <row r="238" spans="16:16" x14ac:dyDescent="0.25">
      <c r="P238" s="6"/>
    </row>
    <row r="239" spans="16:16" x14ac:dyDescent="0.25">
      <c r="P239" s="6"/>
    </row>
    <row r="240" spans="16:16" x14ac:dyDescent="0.25">
      <c r="P240" s="6"/>
    </row>
    <row r="241" spans="16:16" x14ac:dyDescent="0.25">
      <c r="P241" s="6"/>
    </row>
    <row r="242" spans="16:16" x14ac:dyDescent="0.25">
      <c r="P242" s="6"/>
    </row>
    <row r="243" spans="16:16" x14ac:dyDescent="0.25">
      <c r="P243" s="6"/>
    </row>
    <row r="244" spans="16:16" x14ac:dyDescent="0.25">
      <c r="P244" s="6"/>
    </row>
    <row r="245" spans="16:16" x14ac:dyDescent="0.25">
      <c r="P245" s="6"/>
    </row>
    <row r="246" spans="16:16" x14ac:dyDescent="0.25">
      <c r="P246" s="6"/>
    </row>
    <row r="247" spans="16:16" x14ac:dyDescent="0.25">
      <c r="P247" s="6"/>
    </row>
    <row r="248" spans="16:16" x14ac:dyDescent="0.25">
      <c r="P248" s="6"/>
    </row>
    <row r="249" spans="16:16" x14ac:dyDescent="0.25">
      <c r="P249" s="6"/>
    </row>
    <row r="250" spans="16:16" x14ac:dyDescent="0.25">
      <c r="P250" s="6"/>
    </row>
    <row r="251" spans="16:16" x14ac:dyDescent="0.25">
      <c r="P251" s="6"/>
    </row>
    <row r="252" spans="16:16" x14ac:dyDescent="0.25">
      <c r="P252" s="6"/>
    </row>
    <row r="253" spans="16:16" x14ac:dyDescent="0.25">
      <c r="P253" s="6"/>
    </row>
    <row r="254" spans="16:16" x14ac:dyDescent="0.25">
      <c r="P254" s="6"/>
    </row>
    <row r="255" spans="16:16" x14ac:dyDescent="0.25">
      <c r="P255" s="6"/>
    </row>
    <row r="256" spans="16:16" x14ac:dyDescent="0.25">
      <c r="P256" s="6"/>
    </row>
    <row r="257" spans="16:16" x14ac:dyDescent="0.25">
      <c r="P257" s="6"/>
    </row>
    <row r="258" spans="16:16" x14ac:dyDescent="0.25">
      <c r="P258" s="6"/>
    </row>
    <row r="259" spans="16:16" x14ac:dyDescent="0.25">
      <c r="P259" s="6"/>
    </row>
    <row r="260" spans="16:16" x14ac:dyDescent="0.25">
      <c r="P260" s="6"/>
    </row>
    <row r="261" spans="16:16" x14ac:dyDescent="0.25">
      <c r="P261" s="6"/>
    </row>
    <row r="262" spans="16:16" x14ac:dyDescent="0.25">
      <c r="P262" s="6"/>
    </row>
    <row r="263" spans="16:16" x14ac:dyDescent="0.25">
      <c r="P263" s="6"/>
    </row>
    <row r="264" spans="16:16" x14ac:dyDescent="0.25">
      <c r="P264" s="6"/>
    </row>
    <row r="265" spans="16:16" x14ac:dyDescent="0.25">
      <c r="P265" s="6"/>
    </row>
    <row r="266" spans="16:16" x14ac:dyDescent="0.25">
      <c r="P266" s="6"/>
    </row>
    <row r="267" spans="16:16" x14ac:dyDescent="0.25">
      <c r="P267" s="6"/>
    </row>
    <row r="268" spans="16:16" x14ac:dyDescent="0.25">
      <c r="P268" s="6"/>
    </row>
    <row r="269" spans="16:16" x14ac:dyDescent="0.25">
      <c r="P269" s="6"/>
    </row>
    <row r="270" spans="16:16" x14ac:dyDescent="0.25">
      <c r="P270" s="6"/>
    </row>
    <row r="271" spans="16:16" x14ac:dyDescent="0.25">
      <c r="P271" s="6"/>
    </row>
    <row r="272" spans="16:16" x14ac:dyDescent="0.25">
      <c r="P272" s="6"/>
    </row>
  </sheetData>
  <mergeCells count="29">
    <mergeCell ref="B14:B17"/>
    <mergeCell ref="B2:N2"/>
    <mergeCell ref="B4:B5"/>
    <mergeCell ref="C4:C5"/>
    <mergeCell ref="D4:D5"/>
    <mergeCell ref="E4:F4"/>
    <mergeCell ref="I4:I5"/>
    <mergeCell ref="J4:K4"/>
    <mergeCell ref="L4:L5"/>
    <mergeCell ref="G62:H62"/>
    <mergeCell ref="B29:B30"/>
    <mergeCell ref="G30:H30"/>
    <mergeCell ref="B34:B38"/>
    <mergeCell ref="B19:B24"/>
    <mergeCell ref="G24:H24"/>
    <mergeCell ref="B26:B27"/>
    <mergeCell ref="G27:H27"/>
    <mergeCell ref="B44:B46"/>
    <mergeCell ref="O4:O5"/>
    <mergeCell ref="M4:M5"/>
    <mergeCell ref="N4:N5"/>
    <mergeCell ref="G4:H4"/>
    <mergeCell ref="B6:B10"/>
    <mergeCell ref="G6:H6"/>
    <mergeCell ref="B77:B79"/>
    <mergeCell ref="B64:B75"/>
    <mergeCell ref="B54:B57"/>
    <mergeCell ref="B59:B62"/>
    <mergeCell ref="B48:B5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L58 L33 L31 L25 L41 L53 L47 L13" formula="1"/>
    <ignoredError sqref="I18 I51:K51 M51:N51" formulaRange="1"/>
    <ignoredError sqref="L51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4" ma:contentTypeDescription="Criar um novo documento." ma:contentTypeScope="" ma:versionID="f7d63bd18cb34a02f0236594d7a44eb0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c8b2015f3a69022af35764e4a9b45636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33CC5B-B9FD-41C0-B30C-A0AB504F40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9AC1FE-E0D9-4A21-A3CF-91CD993D98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A32DAA-7B69-41B4-8CB1-94250E882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5ef69-e35c-4942-a519-59b0c58b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Condições de Financiamento MLP</vt:lpstr>
      <vt:lpstr>Condições de Financiamento CP</vt:lpstr>
      <vt:lpstr>'Condições de Financiamento CP'!Área_de_Impressão</vt:lpstr>
      <vt:lpstr>'Condições de Financiamento MLP'!Área_de_Impressão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2025-06-24T14:18:51Z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0x01010069B6683B80F5E44D83768D7624F8D01C</vt:lpwstr>
  </property>
</Properties>
</file>