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3043" documentId="13_ncr:1_{A4410678-E181-4411-96CB-46EA0F662EE3}" xr6:coauthVersionLast="47" xr6:coauthVersionMax="47" xr10:uidLastSave="{18838CC3-5401-465B-B512-4D343C8D0F66}"/>
  <bookViews>
    <workbookView xWindow="-120" yWindow="-120" windowWidth="29040" windowHeight="15840" xr2:uid="{00000000-000D-0000-FFFF-FFFF00000000}"/>
  </bookViews>
  <sheets>
    <sheet name="Condições de Financiamento MLP" sheetId="12" r:id="rId1"/>
    <sheet name="Condições de Financiamento CP" sheetId="13" r:id="rId2"/>
  </sheets>
  <definedNames>
    <definedName name="_xlnm._FilterDatabase" localSheetId="0" hidden="1">'Condições de Financiamento MLP'!$B$4:$J$136</definedName>
    <definedName name="_xlnm.Print_Area" localSheetId="1">'Condições de Financiamento CP'!$B$4:$O$61</definedName>
    <definedName name="_xlnm.Print_Area" localSheetId="0">'Condições de Financiamento MLP'!$C$113:$O$119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3" i="12" l="1"/>
  <c r="AI152" i="12"/>
  <c r="AI148" i="12"/>
  <c r="AI146" i="12"/>
  <c r="AI145" i="12"/>
  <c r="AI144" i="12"/>
  <c r="AI143" i="12"/>
  <c r="AI142" i="12"/>
  <c r="AI141" i="12"/>
  <c r="AI139" i="12"/>
  <c r="AI138" i="12"/>
  <c r="AI137" i="12"/>
  <c r="AI136" i="12"/>
  <c r="AI133" i="12"/>
  <c r="AI132" i="12"/>
  <c r="AI131" i="12"/>
  <c r="AI130" i="12"/>
  <c r="AI129" i="12"/>
  <c r="AI128" i="12"/>
  <c r="AI127" i="12"/>
  <c r="AI126" i="12"/>
  <c r="AI125" i="12"/>
  <c r="AI124" i="12"/>
  <c r="AI123" i="12"/>
  <c r="AI122" i="12"/>
  <c r="AI121" i="12"/>
  <c r="AI120" i="12"/>
  <c r="AI119" i="12"/>
  <c r="AI118" i="12"/>
  <c r="AI117" i="12"/>
  <c r="AI116" i="12"/>
  <c r="AI115" i="12"/>
  <c r="AI114" i="12"/>
  <c r="AI113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I87" i="12"/>
  <c r="AI86" i="12"/>
  <c r="AI85" i="12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59" i="12"/>
  <c r="AI58" i="12"/>
  <c r="AI57" i="12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J65" i="13"/>
  <c r="K65" i="13"/>
  <c r="L65" i="13"/>
  <c r="M65" i="13"/>
  <c r="N65" i="13"/>
  <c r="I65" i="13"/>
  <c r="D65" i="13"/>
  <c r="AD149" i="12" l="1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N149" i="12"/>
  <c r="M149" i="12"/>
  <c r="K149" i="12"/>
  <c r="J149" i="12"/>
  <c r="I149" i="12"/>
  <c r="D149" i="12"/>
  <c r="N69" i="13" l="1"/>
  <c r="M69" i="13"/>
  <c r="K69" i="13"/>
  <c r="J69" i="13"/>
  <c r="I69" i="13"/>
  <c r="J148" i="12"/>
  <c r="I148" i="12"/>
  <c r="L143" i="12"/>
  <c r="L144" i="12" s="1"/>
  <c r="L148" i="12" s="1"/>
  <c r="L141" i="12"/>
  <c r="Q144" i="12"/>
  <c r="Q148" i="12" s="1"/>
  <c r="N144" i="12"/>
  <c r="N148" i="12" s="1"/>
  <c r="M144" i="12"/>
  <c r="M148" i="12" s="1"/>
  <c r="K144" i="12"/>
  <c r="K148" i="12" s="1"/>
  <c r="J144" i="12"/>
  <c r="I144" i="12"/>
  <c r="D144" i="12"/>
  <c r="D148" i="12" s="1"/>
  <c r="O144" i="12"/>
  <c r="L45" i="13"/>
  <c r="O148" i="12" l="1"/>
  <c r="L69" i="13"/>
  <c r="D69" i="13"/>
  <c r="L41" i="13"/>
  <c r="L40" i="13"/>
  <c r="L38" i="13"/>
  <c r="L34" i="13"/>
  <c r="L33" i="13"/>
  <c r="L31" i="13"/>
  <c r="L30" i="13"/>
  <c r="J27" i="13"/>
  <c r="K27" i="13"/>
  <c r="M27" i="13"/>
  <c r="N27" i="13"/>
  <c r="L26" i="13"/>
  <c r="L27" i="13" s="1"/>
  <c r="J16" i="13"/>
  <c r="K16" i="13"/>
  <c r="M16" i="13"/>
  <c r="N16" i="13"/>
  <c r="I16" i="13"/>
  <c r="D16" i="13"/>
  <c r="L35" i="13" l="1"/>
  <c r="K35" i="13"/>
  <c r="L58" i="12" l="1"/>
  <c r="U84" i="12"/>
  <c r="T84" i="12"/>
  <c r="S84" i="12"/>
  <c r="R84" i="12"/>
  <c r="Q84" i="12"/>
  <c r="O84" i="12"/>
  <c r="N84" i="12"/>
  <c r="M84" i="12"/>
  <c r="L84" i="12"/>
  <c r="K84" i="12"/>
  <c r="J84" i="12"/>
  <c r="I84" i="12"/>
  <c r="D84" i="12"/>
  <c r="O95" i="12"/>
  <c r="N95" i="12"/>
  <c r="M95" i="12"/>
  <c r="L95" i="12"/>
  <c r="K95" i="12"/>
  <c r="J95" i="12"/>
  <c r="I95" i="12"/>
  <c r="D95" i="12"/>
  <c r="O141" i="12"/>
  <c r="I62" i="13"/>
  <c r="I66" i="13"/>
  <c r="M140" i="12"/>
  <c r="N140" i="12"/>
  <c r="K140" i="12"/>
  <c r="J140" i="12"/>
  <c r="I140" i="12"/>
  <c r="D140" i="12"/>
  <c r="L131" i="12"/>
  <c r="L135" i="12"/>
  <c r="AI135" i="12" s="1"/>
  <c r="L134" i="12"/>
  <c r="AI134" i="12" s="1"/>
  <c r="L130" i="12"/>
  <c r="L129" i="12"/>
  <c r="L128" i="12"/>
  <c r="L127" i="12"/>
  <c r="L126" i="12"/>
  <c r="L125" i="12"/>
  <c r="L124" i="12"/>
  <c r="L123" i="12"/>
  <c r="L122" i="12"/>
  <c r="O122" i="12" s="1"/>
  <c r="L121" i="12"/>
  <c r="O121" i="12" s="1"/>
  <c r="D22" i="13"/>
  <c r="J22" i="13"/>
  <c r="K22" i="13"/>
  <c r="M22" i="13"/>
  <c r="N22" i="13"/>
  <c r="I22" i="13"/>
  <c r="L21" i="13"/>
  <c r="L20" i="13"/>
  <c r="L52" i="13"/>
  <c r="L51" i="13"/>
  <c r="L50" i="13"/>
  <c r="L140" i="12" l="1"/>
  <c r="AI140" i="12" s="1"/>
  <c r="O123" i="12"/>
  <c r="O130" i="12"/>
  <c r="O129" i="12"/>
  <c r="O124" i="12"/>
  <c r="O126" i="12"/>
  <c r="O125" i="12"/>
  <c r="O128" i="12"/>
  <c r="O127" i="12"/>
  <c r="L119" i="12"/>
  <c r="L118" i="12"/>
  <c r="O140" i="12" l="1"/>
  <c r="O118" i="12"/>
  <c r="O119" i="12"/>
  <c r="L117" i="12"/>
  <c r="L116" i="12"/>
  <c r="L115" i="12"/>
  <c r="J112" i="12"/>
  <c r="K112" i="12"/>
  <c r="M112" i="12"/>
  <c r="N112" i="12"/>
  <c r="L114" i="12"/>
  <c r="L113" i="12"/>
  <c r="O113" i="12" l="1"/>
  <c r="O114" i="12"/>
  <c r="O115" i="12"/>
  <c r="O116" i="12"/>
  <c r="O117" i="12"/>
  <c r="L48" i="13"/>
  <c r="L46" i="13"/>
  <c r="L49" i="13" s="1"/>
  <c r="L47" i="13"/>
  <c r="L108" i="12"/>
  <c r="O108" i="12" l="1"/>
  <c r="U33" i="12"/>
  <c r="T33" i="12"/>
  <c r="S33" i="12"/>
  <c r="R33" i="12"/>
  <c r="Q33" i="12"/>
  <c r="U32" i="12"/>
  <c r="T32" i="12"/>
  <c r="S32" i="12"/>
  <c r="R32" i="12"/>
  <c r="Q32" i="12"/>
  <c r="S59" i="12"/>
  <c r="L101" i="12" l="1"/>
  <c r="L99" i="12"/>
  <c r="L97" i="12"/>
  <c r="L98" i="12"/>
  <c r="L100" i="12"/>
  <c r="AI100" i="12" s="1"/>
  <c r="L102" i="12"/>
  <c r="L103" i="12"/>
  <c r="L104" i="12"/>
  <c r="L105" i="12"/>
  <c r="L106" i="12"/>
  <c r="L107" i="12"/>
  <c r="L109" i="12"/>
  <c r="L110" i="12"/>
  <c r="L111" i="12"/>
  <c r="L96" i="12"/>
  <c r="O107" i="12" l="1"/>
  <c r="O106" i="12"/>
  <c r="O105" i="12"/>
  <c r="O104" i="12"/>
  <c r="O103" i="12"/>
  <c r="O102" i="12"/>
  <c r="O100" i="12"/>
  <c r="O98" i="12"/>
  <c r="O99" i="12"/>
  <c r="O97" i="12"/>
  <c r="O111" i="12"/>
  <c r="O110" i="12"/>
  <c r="O101" i="12"/>
  <c r="O109" i="12"/>
  <c r="O96" i="12"/>
  <c r="L112" i="12"/>
  <c r="AI112" i="12" s="1"/>
  <c r="L36" i="13"/>
  <c r="O112" i="12" l="1"/>
  <c r="N37" i="13"/>
  <c r="M37" i="13"/>
  <c r="K37" i="13"/>
  <c r="J37" i="13"/>
  <c r="I37" i="13"/>
  <c r="D37" i="13"/>
  <c r="L37" i="13"/>
  <c r="L19" i="13"/>
  <c r="L18" i="13"/>
  <c r="L17" i="13"/>
  <c r="D35" i="13"/>
  <c r="L22" i="13" l="1"/>
  <c r="L28" i="13"/>
  <c r="L78" i="12"/>
  <c r="I27" i="13"/>
  <c r="D27" i="13"/>
  <c r="O78" i="12" l="1"/>
  <c r="L76" i="12"/>
  <c r="L23" i="13"/>
  <c r="L13" i="13"/>
  <c r="L12" i="13"/>
  <c r="L74" i="12"/>
  <c r="L73" i="12"/>
  <c r="L72" i="12"/>
  <c r="L71" i="12"/>
  <c r="L70" i="12"/>
  <c r="L69" i="12"/>
  <c r="L68" i="12"/>
  <c r="L67" i="12"/>
  <c r="L65" i="12"/>
  <c r="AD59" i="12"/>
  <c r="R59" i="12"/>
  <c r="T59" i="12"/>
  <c r="U59" i="12"/>
  <c r="V59" i="12"/>
  <c r="W59" i="12"/>
  <c r="X59" i="12"/>
  <c r="Y59" i="12"/>
  <c r="Z59" i="12"/>
  <c r="AA59" i="12"/>
  <c r="AB59" i="12"/>
  <c r="AC59" i="12"/>
  <c r="Q59" i="12"/>
  <c r="L149" i="12" l="1"/>
  <c r="AI149" i="12" s="1"/>
  <c r="L16" i="13"/>
  <c r="O71" i="12"/>
  <c r="O69" i="12"/>
  <c r="O70" i="12"/>
  <c r="O72" i="12"/>
  <c r="O73" i="12"/>
  <c r="O74" i="12"/>
  <c r="O65" i="12"/>
  <c r="O76" i="12"/>
  <c r="O77" i="12" s="1"/>
  <c r="O67" i="12"/>
  <c r="O68" i="12"/>
  <c r="R34" i="12"/>
  <c r="Q34" i="12"/>
  <c r="Q41" i="12"/>
  <c r="O149" i="12" l="1"/>
  <c r="Q14" i="12"/>
  <c r="Q11" i="12"/>
  <c r="L7" i="13" l="1"/>
  <c r="O63" i="12"/>
  <c r="O62" i="12"/>
  <c r="O18" i="12"/>
  <c r="O28" i="12"/>
  <c r="O29" i="12"/>
  <c r="O32" i="12"/>
  <c r="O33" i="12"/>
  <c r="O34" i="12"/>
  <c r="O39" i="12"/>
  <c r="O53" i="12"/>
  <c r="O54" i="12"/>
  <c r="O55" i="12"/>
  <c r="O56" i="12"/>
  <c r="O57" i="12"/>
  <c r="O58" i="12"/>
  <c r="O59" i="12"/>
  <c r="O60" i="12"/>
  <c r="J63" i="12"/>
  <c r="M63" i="12"/>
  <c r="N62" i="12"/>
  <c r="M62" i="12"/>
  <c r="J62" i="12"/>
  <c r="L15" i="12" l="1"/>
  <c r="L12" i="12"/>
  <c r="L11" i="12"/>
  <c r="L10" i="12"/>
  <c r="L7" i="12"/>
  <c r="L13" i="12"/>
  <c r="L17" i="12"/>
  <c r="L19" i="12"/>
  <c r="L20" i="12"/>
  <c r="L21" i="12"/>
  <c r="L22" i="12"/>
  <c r="L23" i="12"/>
  <c r="L24" i="12"/>
  <c r="L25" i="12"/>
  <c r="L26" i="12"/>
  <c r="L27" i="12"/>
  <c r="L30" i="12"/>
  <c r="L31" i="12"/>
  <c r="L35" i="12"/>
  <c r="L36" i="12"/>
  <c r="L37" i="12"/>
  <c r="L38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O23" i="12" l="1"/>
  <c r="O22" i="12"/>
  <c r="O50" i="12"/>
  <c r="O36" i="12"/>
  <c r="O52" i="12"/>
  <c r="O38" i="12"/>
  <c r="O37" i="12"/>
  <c r="O49" i="12"/>
  <c r="O48" i="12"/>
  <c r="O17" i="12"/>
  <c r="O31" i="12"/>
  <c r="O46" i="12"/>
  <c r="O45" i="12"/>
  <c r="O10" i="12"/>
  <c r="O26" i="12"/>
  <c r="O12" i="12"/>
  <c r="O41" i="12"/>
  <c r="O40" i="12"/>
  <c r="O51" i="12"/>
  <c r="O21" i="12"/>
  <c r="O20" i="12"/>
  <c r="O19" i="12"/>
  <c r="O35" i="12"/>
  <c r="O47" i="12"/>
  <c r="O13" i="12"/>
  <c r="O30" i="12"/>
  <c r="O7" i="12"/>
  <c r="O27" i="12"/>
  <c r="O44" i="12"/>
  <c r="O11" i="12"/>
  <c r="O43" i="12"/>
  <c r="O25" i="12"/>
  <c r="O42" i="12"/>
  <c r="O24" i="12"/>
  <c r="O15" i="12"/>
  <c r="L6" i="12"/>
  <c r="O6" i="12" s="1"/>
  <c r="L16" i="12"/>
  <c r="L14" i="12"/>
  <c r="L9" i="12"/>
  <c r="L8" i="12"/>
  <c r="O16" i="12" l="1"/>
  <c r="O8" i="12"/>
  <c r="O9" i="12"/>
  <c r="O14" i="12"/>
  <c r="N35" i="13" l="1"/>
  <c r="M35" i="13"/>
  <c r="J35" i="13"/>
  <c r="I35" i="13"/>
  <c r="M11" i="13"/>
  <c r="D11" i="13"/>
  <c r="K11" i="13"/>
  <c r="J11" i="13"/>
  <c r="N11" i="13" l="1"/>
  <c r="N66" i="13" l="1"/>
  <c r="M66" i="13"/>
  <c r="L66" i="13"/>
  <c r="K66" i="13"/>
  <c r="J66" i="13"/>
  <c r="D66" i="13"/>
  <c r="Q142" i="12" l="1"/>
  <c r="N142" i="12"/>
  <c r="M142" i="12"/>
  <c r="L142" i="12"/>
  <c r="K142" i="12"/>
  <c r="J142" i="12"/>
  <c r="I142" i="12"/>
  <c r="D142" i="12"/>
  <c r="O142" i="12" l="1"/>
  <c r="J62" i="13"/>
  <c r="K62" i="13"/>
  <c r="L62" i="13"/>
  <c r="M62" i="13"/>
  <c r="N62" i="13"/>
  <c r="D62" i="13"/>
  <c r="AB140" i="12" l="1"/>
  <c r="AA140" i="12"/>
  <c r="Z140" i="12"/>
  <c r="Y140" i="12"/>
  <c r="X140" i="12"/>
  <c r="W140" i="12"/>
  <c r="V140" i="12"/>
  <c r="U140" i="12"/>
  <c r="T140" i="12"/>
  <c r="S140" i="12"/>
  <c r="R140" i="12"/>
  <c r="Q140" i="12"/>
  <c r="N55" i="13" l="1"/>
  <c r="M55" i="13"/>
  <c r="L55" i="13"/>
  <c r="K55" i="13"/>
  <c r="J55" i="13"/>
  <c r="I55" i="13"/>
  <c r="D55" i="13"/>
  <c r="AD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O120" i="12"/>
  <c r="N120" i="12"/>
  <c r="M120" i="12"/>
  <c r="L120" i="12"/>
  <c r="K120" i="12"/>
  <c r="J120" i="12"/>
  <c r="I120" i="12"/>
  <c r="D120" i="12"/>
  <c r="AC120" i="12" l="1"/>
  <c r="K49" i="13" l="1"/>
  <c r="M49" i="13"/>
  <c r="N49" i="13"/>
  <c r="J49" i="13"/>
  <c r="I49" i="13"/>
  <c r="D49" i="13"/>
  <c r="I64" i="12"/>
  <c r="D64" i="12"/>
  <c r="Z112" i="12" l="1"/>
  <c r="Y112" i="12"/>
  <c r="X112" i="12"/>
  <c r="W112" i="12"/>
  <c r="V112" i="12"/>
  <c r="U112" i="12"/>
  <c r="T112" i="12"/>
  <c r="S112" i="12"/>
  <c r="R112" i="12"/>
  <c r="Q112" i="12"/>
  <c r="I112" i="12"/>
  <c r="D112" i="12"/>
  <c r="N44" i="13" l="1"/>
  <c r="M44" i="13"/>
  <c r="L44" i="13"/>
  <c r="K44" i="13"/>
  <c r="J44" i="13"/>
  <c r="I44" i="13"/>
  <c r="D44" i="13"/>
  <c r="N42" i="13"/>
  <c r="M42" i="13"/>
  <c r="L42" i="13"/>
  <c r="K42" i="13"/>
  <c r="J42" i="13"/>
  <c r="I42" i="13"/>
  <c r="D42" i="13"/>
  <c r="Q95" i="12"/>
  <c r="R95" i="12"/>
  <c r="N39" i="13" l="1"/>
  <c r="N68" i="13" s="1"/>
  <c r="M39" i="13"/>
  <c r="M68" i="13" s="1"/>
  <c r="L39" i="13"/>
  <c r="K39" i="13"/>
  <c r="K68" i="13" s="1"/>
  <c r="J39" i="13"/>
  <c r="J68" i="13" s="1"/>
  <c r="I39" i="13"/>
  <c r="I68" i="13" s="1"/>
  <c r="D39" i="13"/>
  <c r="D68" i="13" s="1"/>
  <c r="AD147" i="12"/>
  <c r="AD150" i="12" s="1"/>
  <c r="AC147" i="12"/>
  <c r="AC150" i="12" s="1"/>
  <c r="AB147" i="12"/>
  <c r="AA147" i="12"/>
  <c r="Z147" i="12"/>
  <c r="Y147" i="12"/>
  <c r="X147" i="12"/>
  <c r="W93" i="12"/>
  <c r="W147" i="12" s="1"/>
  <c r="V93" i="12"/>
  <c r="V147" i="12" s="1"/>
  <c r="U93" i="12"/>
  <c r="U147" i="12" s="1"/>
  <c r="T93" i="12"/>
  <c r="T147" i="12" s="1"/>
  <c r="S93" i="12"/>
  <c r="S147" i="12" s="1"/>
  <c r="R93" i="12"/>
  <c r="R147" i="12" s="1"/>
  <c r="Q93" i="12"/>
  <c r="Q147" i="12" s="1"/>
  <c r="O93" i="12"/>
  <c r="N93" i="12"/>
  <c r="N147" i="12" s="1"/>
  <c r="M93" i="12"/>
  <c r="M147" i="12" s="1"/>
  <c r="L93" i="12"/>
  <c r="L147" i="12" s="1"/>
  <c r="AI147" i="12" s="1"/>
  <c r="K93" i="12"/>
  <c r="K147" i="12" s="1"/>
  <c r="J93" i="12"/>
  <c r="J147" i="12" s="1"/>
  <c r="I93" i="12"/>
  <c r="D93" i="12"/>
  <c r="I147" i="12" l="1"/>
  <c r="O147" i="12"/>
  <c r="L68" i="13"/>
  <c r="D147" i="12"/>
  <c r="N29" i="13" l="1"/>
  <c r="M29" i="13"/>
  <c r="L29" i="13"/>
  <c r="K29" i="13"/>
  <c r="J29" i="13"/>
  <c r="I29" i="13"/>
  <c r="D29" i="13"/>
  <c r="V79" i="12"/>
  <c r="U79" i="12"/>
  <c r="T79" i="12"/>
  <c r="S79" i="12"/>
  <c r="R79" i="12"/>
  <c r="Q79" i="12"/>
  <c r="O79" i="12"/>
  <c r="N79" i="12"/>
  <c r="M79" i="12"/>
  <c r="L79" i="12"/>
  <c r="K79" i="12"/>
  <c r="J79" i="12"/>
  <c r="I79" i="12"/>
  <c r="D79" i="12"/>
  <c r="X77" i="12" l="1"/>
  <c r="W77" i="12"/>
  <c r="V77" i="12"/>
  <c r="U77" i="12"/>
  <c r="T77" i="12"/>
  <c r="S77" i="12"/>
  <c r="R77" i="12"/>
  <c r="Q77" i="12"/>
  <c r="N77" i="12"/>
  <c r="M77" i="12"/>
  <c r="L77" i="12"/>
  <c r="K77" i="12"/>
  <c r="J77" i="12"/>
  <c r="I77" i="12"/>
  <c r="D77" i="12"/>
  <c r="L24" i="13" l="1"/>
  <c r="K24" i="13"/>
  <c r="J24" i="13"/>
  <c r="I24" i="13"/>
  <c r="D24" i="13"/>
  <c r="Q75" i="12"/>
  <c r="R75" i="12"/>
  <c r="S75" i="12"/>
  <c r="T75" i="12"/>
  <c r="U75" i="12"/>
  <c r="V75" i="12"/>
  <c r="W75" i="12"/>
  <c r="X75" i="12"/>
  <c r="Y75" i="12"/>
  <c r="Z75" i="12"/>
  <c r="AA75" i="12"/>
  <c r="AB75" i="12"/>
  <c r="K75" i="12"/>
  <c r="L75" i="12"/>
  <c r="O75" i="12"/>
  <c r="I75" i="12"/>
  <c r="D75" i="12"/>
  <c r="I67" i="13" l="1"/>
  <c r="I70" i="13" s="1"/>
  <c r="M24" i="13"/>
  <c r="N24" i="13"/>
  <c r="M75" i="12"/>
  <c r="N75" i="12"/>
  <c r="J75" i="12"/>
  <c r="AB146" i="12" l="1"/>
  <c r="AB150" i="12" s="1"/>
  <c r="AA146" i="12"/>
  <c r="AA150" i="12" s="1"/>
  <c r="Z146" i="12"/>
  <c r="Z150" i="12" s="1"/>
  <c r="Y146" i="12"/>
  <c r="Y150" i="12" s="1"/>
  <c r="X146" i="12"/>
  <c r="X150" i="12" s="1"/>
  <c r="W146" i="12"/>
  <c r="W150" i="12" s="1"/>
  <c r="V146" i="12"/>
  <c r="V150" i="12" s="1"/>
  <c r="U146" i="12"/>
  <c r="U150" i="12" s="1"/>
  <c r="T146" i="12"/>
  <c r="T150" i="12" s="1"/>
  <c r="S66" i="12"/>
  <c r="S146" i="12" s="1"/>
  <c r="S150" i="12" s="1"/>
  <c r="R66" i="12"/>
  <c r="R146" i="12" s="1"/>
  <c r="R150" i="12" s="1"/>
  <c r="Q66" i="12"/>
  <c r="Q146" i="12" s="1"/>
  <c r="Q150" i="12" s="1"/>
  <c r="O66" i="12"/>
  <c r="N66" i="12"/>
  <c r="N146" i="12" s="1"/>
  <c r="N150" i="12" s="1"/>
  <c r="M66" i="12"/>
  <c r="M146" i="12" s="1"/>
  <c r="M150" i="12" s="1"/>
  <c r="K66" i="12"/>
  <c r="K146" i="12" s="1"/>
  <c r="K150" i="12" s="1"/>
  <c r="J66" i="12"/>
  <c r="J146" i="12" s="1"/>
  <c r="J150" i="12" s="1"/>
  <c r="D66" i="12"/>
  <c r="D146" i="12" l="1"/>
  <c r="D150" i="12" s="1"/>
  <c r="D67" i="13"/>
  <c r="I71" i="13"/>
  <c r="N67" i="13"/>
  <c r="M67" i="13"/>
  <c r="J67" i="13"/>
  <c r="O146" i="12"/>
  <c r="O150" i="12" s="1"/>
  <c r="L66" i="12"/>
  <c r="L146" i="12" s="1"/>
  <c r="L150" i="12" s="1"/>
  <c r="AI150" i="12" s="1"/>
  <c r="I66" i="12"/>
  <c r="J70" i="13" l="1"/>
  <c r="J71" i="13" s="1"/>
  <c r="M70" i="13"/>
  <c r="M71" i="13" s="1"/>
  <c r="N70" i="13"/>
  <c r="N71" i="13" s="1"/>
  <c r="D70" i="13"/>
  <c r="D71" i="13" s="1"/>
  <c r="I146" i="12"/>
  <c r="I150" i="12" s="1"/>
  <c r="Q56" i="12"/>
  <c r="R56" i="12"/>
  <c r="S56" i="12"/>
  <c r="T56" i="12"/>
  <c r="U56" i="12"/>
  <c r="V56" i="12"/>
  <c r="W56" i="12"/>
  <c r="K61" i="12" l="1"/>
  <c r="V61" i="12"/>
  <c r="W61" i="12"/>
  <c r="X61" i="12"/>
  <c r="Y61" i="12"/>
  <c r="Z61" i="12"/>
  <c r="AA61" i="12"/>
  <c r="AB61" i="12"/>
  <c r="AC61" i="12"/>
  <c r="AD61" i="12"/>
  <c r="D61" i="12"/>
  <c r="D145" i="12" s="1"/>
  <c r="D151" i="12" s="1"/>
  <c r="I61" i="12" l="1"/>
  <c r="I145" i="12" s="1"/>
  <c r="I151" i="12" s="1"/>
  <c r="J64" i="12"/>
  <c r="K64" i="12"/>
  <c r="K145" i="12" s="1"/>
  <c r="K151" i="12" s="1"/>
  <c r="M64" i="12"/>
  <c r="N64" i="12"/>
  <c r="Q64" i="12"/>
  <c r="R64" i="12"/>
  <c r="S64" i="12"/>
  <c r="T64" i="12"/>
  <c r="U64" i="12"/>
  <c r="V64" i="12"/>
  <c r="V145" i="12" s="1"/>
  <c r="V151" i="12" s="1"/>
  <c r="W64" i="12"/>
  <c r="W145" i="12" s="1"/>
  <c r="W151" i="12" s="1"/>
  <c r="X64" i="12"/>
  <c r="X145" i="12" s="1"/>
  <c r="X151" i="12" s="1"/>
  <c r="Y64" i="12"/>
  <c r="Y145" i="12" s="1"/>
  <c r="Y151" i="12" s="1"/>
  <c r="Z64" i="12"/>
  <c r="Z145" i="12" s="1"/>
  <c r="Z151" i="12" s="1"/>
  <c r="AA64" i="12"/>
  <c r="AA145" i="12" s="1"/>
  <c r="AA151" i="12" s="1"/>
  <c r="AB64" i="12"/>
  <c r="AB145" i="12" s="1"/>
  <c r="AB151" i="12" s="1"/>
  <c r="AC64" i="12"/>
  <c r="AC145" i="12" s="1"/>
  <c r="AC151" i="12" s="1"/>
  <c r="AD64" i="12"/>
  <c r="AD145" i="12" s="1"/>
  <c r="AD151" i="12" s="1"/>
  <c r="Q61" i="12" l="1"/>
  <c r="Q145" i="12" s="1"/>
  <c r="Q151" i="12" s="1"/>
  <c r="R61" i="12"/>
  <c r="R145" i="12" s="1"/>
  <c r="R151" i="12" s="1"/>
  <c r="S61" i="12"/>
  <c r="S145" i="12" s="1"/>
  <c r="S151" i="12" s="1"/>
  <c r="T61" i="12"/>
  <c r="T145" i="12" s="1"/>
  <c r="T151" i="12" s="1"/>
  <c r="U61" i="12"/>
  <c r="U145" i="12" s="1"/>
  <c r="U151" i="12" s="1"/>
  <c r="L64" i="12"/>
  <c r="O64" i="12"/>
  <c r="M61" i="12" l="1"/>
  <c r="M145" i="12" s="1"/>
  <c r="M151" i="12" s="1"/>
  <c r="O61" i="12" l="1"/>
  <c r="O145" i="12" s="1"/>
  <c r="O151" i="12" s="1"/>
  <c r="J61" i="12"/>
  <c r="J145" i="12" s="1"/>
  <c r="J151" i="12" s="1"/>
  <c r="L61" i="12" l="1"/>
  <c r="L145" i="12" l="1"/>
  <c r="N61" i="12"/>
  <c r="L151" i="12" l="1"/>
  <c r="AI151" i="12" s="1"/>
  <c r="N145" i="12"/>
  <c r="N151" i="12" s="1"/>
  <c r="K67" i="13" l="1"/>
  <c r="L67" i="13"/>
  <c r="L70" i="13" s="1"/>
  <c r="K70" i="13" l="1"/>
  <c r="K71" i="13" s="1"/>
  <c r="L71" i="13"/>
</calcChain>
</file>

<file path=xl/sharedStrings.xml><?xml version="1.0" encoding="utf-8"?>
<sst xmlns="http://schemas.openxmlformats.org/spreadsheetml/2006/main" count="511" uniqueCount="158">
  <si>
    <t>Condições de financiamento das entidades do SPR - MLP</t>
  </si>
  <si>
    <t>(euros)</t>
  </si>
  <si>
    <t>Mutuário</t>
  </si>
  <si>
    <t>Mutuante</t>
  </si>
  <si>
    <t>Capital contratado</t>
  </si>
  <si>
    <t>Data</t>
  </si>
  <si>
    <t>Taxa de juro</t>
  </si>
  <si>
    <t>Juros de contratos de financiamento</t>
  </si>
  <si>
    <t>Outros encargos de contratos de financiamento</t>
  </si>
  <si>
    <t>Amortizações acumuladas</t>
  </si>
  <si>
    <t>Garantias Concedidas pela RAA/ Observações</t>
  </si>
  <si>
    <t>Início</t>
  </si>
  <si>
    <t>Fim</t>
  </si>
  <si>
    <t>Indexante</t>
  </si>
  <si>
    <t>Spread</t>
  </si>
  <si>
    <t>Amortizações</t>
  </si>
  <si>
    <t>Reforços</t>
  </si>
  <si>
    <t>Dívida Direta RAA</t>
  </si>
  <si>
    <t>Dexia</t>
  </si>
  <si>
    <t>CGD/BPI/BCP</t>
  </si>
  <si>
    <t>Euribor 6M</t>
  </si>
  <si>
    <t>CCAMA/CCCAM</t>
  </si>
  <si>
    <t>Euribor 12M</t>
  </si>
  <si>
    <t>BST</t>
  </si>
  <si>
    <t>BPI</t>
  </si>
  <si>
    <t>NB</t>
  </si>
  <si>
    <t>CCAMA</t>
  </si>
  <si>
    <t>CA/BK</t>
  </si>
  <si>
    <t>Assunção de dívida dos Hospitais</t>
  </si>
  <si>
    <t>NBAçores</t>
  </si>
  <si>
    <t>Assunção de dívida da Saudaçor</t>
  </si>
  <si>
    <t>BI/BBVA/BK/CA</t>
  </si>
  <si>
    <t>CGD/BCP</t>
  </si>
  <si>
    <t>BPI/CGD e CA/BK</t>
  </si>
  <si>
    <t>CBI/CA/DB/BCP</t>
  </si>
  <si>
    <t>BCP</t>
  </si>
  <si>
    <t>Euribor 3M</t>
  </si>
  <si>
    <t>Assunção de dívida da SPRHI</t>
  </si>
  <si>
    <t>Montepio</t>
  </si>
  <si>
    <t>IHRU</t>
  </si>
  <si>
    <t>BPG</t>
  </si>
  <si>
    <t>BIC</t>
  </si>
  <si>
    <t>CGD</t>
  </si>
  <si>
    <t>CEMAH</t>
  </si>
  <si>
    <t>BI/BST</t>
  </si>
  <si>
    <t>Assunção de dívida da SINAGA</t>
  </si>
  <si>
    <t>Bankinter</t>
  </si>
  <si>
    <t>Subtotal</t>
  </si>
  <si>
    <t>RAA Leasing</t>
  </si>
  <si>
    <t>Atlânticoline, S.A.</t>
  </si>
  <si>
    <t>Carta Conforto</t>
  </si>
  <si>
    <t>Ilhas de Valor, S.A.</t>
  </si>
  <si>
    <t>Aval N.º 11/18</t>
  </si>
  <si>
    <t>Aval N.º 02/19</t>
  </si>
  <si>
    <t>Aval N.º 07/19</t>
  </si>
  <si>
    <t>Euribor 1M</t>
  </si>
  <si>
    <t>Aval N.º 04/20</t>
  </si>
  <si>
    <t>Teatro Micaelense, S.A.</t>
  </si>
  <si>
    <t xml:space="preserve">BCP </t>
  </si>
  <si>
    <t>Aval N.º 05/21</t>
  </si>
  <si>
    <t>IROA, S.A.</t>
  </si>
  <si>
    <t>Aval N.º 01/19</t>
  </si>
  <si>
    <t>SATA Air Açores, S.A.</t>
  </si>
  <si>
    <t>-</t>
  </si>
  <si>
    <t>RCI</t>
  </si>
  <si>
    <t>DB</t>
  </si>
  <si>
    <t>Aval N.º 14/18</t>
  </si>
  <si>
    <t>SATA Internacional, S.A.</t>
  </si>
  <si>
    <t>Portos dos Açores, S.A.</t>
  </si>
  <si>
    <t>Lotaçor, S.A.</t>
  </si>
  <si>
    <t>EDA, S.A.</t>
  </si>
  <si>
    <t>EDA Renováveis, S.A.</t>
  </si>
  <si>
    <t>Total RAA 1)</t>
  </si>
  <si>
    <t>Total EPR 2)</t>
  </si>
  <si>
    <t>Total EPnR 3)</t>
  </si>
  <si>
    <t>Notas:</t>
  </si>
  <si>
    <t>Condições de financiamento das entidades do SPR - CP</t>
  </si>
  <si>
    <t>Taxa de Juro</t>
  </si>
  <si>
    <t>RAA</t>
  </si>
  <si>
    <t>BI/BBVA</t>
  </si>
  <si>
    <t>A definir em cada emissão</t>
  </si>
  <si>
    <t>Renovável</t>
  </si>
  <si>
    <t>AVEA</t>
  </si>
  <si>
    <t>ENTA</t>
  </si>
  <si>
    <t>Sata Air Açores, S.A.</t>
  </si>
  <si>
    <t>Sata Internacional, S.A.</t>
  </si>
  <si>
    <t>SATA Gestão de Aeródromos, S.A.</t>
  </si>
  <si>
    <t>Agregação de 3 empréstimos</t>
  </si>
  <si>
    <t>Agregação SINAGA+Santa Catarina</t>
  </si>
  <si>
    <t>Assunção dívida SATA</t>
  </si>
  <si>
    <t>Assunção dívida Lotaçor</t>
  </si>
  <si>
    <t>Assunção de dívida da Azorina</t>
  </si>
  <si>
    <t>Euribror 6M</t>
  </si>
  <si>
    <t>Montepio Geral</t>
  </si>
  <si>
    <t xml:space="preserve">Euribor 6M </t>
  </si>
  <si>
    <t xml:space="preserve">Euribor 12M </t>
  </si>
  <si>
    <t xml:space="preserve">Euribor 1 M </t>
  </si>
  <si>
    <t>Total Avales</t>
  </si>
  <si>
    <t xml:space="preserve">JP Morgan </t>
  </si>
  <si>
    <t>Aval N.º 03/22</t>
  </si>
  <si>
    <t>TP</t>
  </si>
  <si>
    <t xml:space="preserve">Aval N.º 10/19 </t>
  </si>
  <si>
    <t xml:space="preserve">Aval N.º 03/20 </t>
  </si>
  <si>
    <t xml:space="preserve">Aval N.º 03/21 </t>
  </si>
  <si>
    <t xml:space="preserve">Aval N.º 07/16 </t>
  </si>
  <si>
    <t xml:space="preserve">Aval N.º 08/16 </t>
  </si>
  <si>
    <t xml:space="preserve">Aval Nº 07/17 </t>
  </si>
  <si>
    <t xml:space="preserve">Aval N.º 06/18 </t>
  </si>
  <si>
    <t xml:space="preserve">Aval N.º  06/19 </t>
  </si>
  <si>
    <t xml:space="preserve">Aval N.º 14/17 </t>
  </si>
  <si>
    <t xml:space="preserve">Aval N.º 12/18 </t>
  </si>
  <si>
    <t xml:space="preserve">Aval N.º 01/22 </t>
  </si>
  <si>
    <t xml:space="preserve">Aval N.º 01/20 </t>
  </si>
  <si>
    <t>Aval N.º 02/21</t>
  </si>
  <si>
    <t>TAN 11%</t>
  </si>
  <si>
    <t>CBI</t>
  </si>
  <si>
    <t>BBVA</t>
  </si>
  <si>
    <t>BEI</t>
  </si>
  <si>
    <t>Aval N.º 03/14</t>
  </si>
  <si>
    <t>Agregação operações Azorina</t>
  </si>
  <si>
    <t>Assunção de Dívida do Campo de Golfe Terceira (RCG N.º 108/2022)</t>
  </si>
  <si>
    <t>Aval N.º 02/22 (Dívida Parcialmente Assumida RAA)</t>
  </si>
  <si>
    <t>Assunção parcial de dívida da Lotaçor</t>
  </si>
  <si>
    <t>Movimentos em 2023</t>
  </si>
  <si>
    <t>Posição a 
31.12.2023</t>
  </si>
  <si>
    <t>Posição a 31.12.2022</t>
  </si>
  <si>
    <t>Reestruturado (BPI 10,5M€)</t>
  </si>
  <si>
    <t xml:space="preserve">Reestruturado com novo plano de amortizações </t>
  </si>
  <si>
    <t>Assunção de dívida da Saudaçor (restruturado com novo plano de amortizações)</t>
  </si>
  <si>
    <t>Assunção de dívida da SINAGA ( reesttuturado com novo plano de amortizações)</t>
  </si>
  <si>
    <t>Assunção dívida Lotaçor (Reestuturado com novo plano de amortizações)</t>
  </si>
  <si>
    <t xml:space="preserve">Outros encargos </t>
  </si>
  <si>
    <t>0,45% e 0,40%</t>
  </si>
  <si>
    <t>BI/Bankinter/BBVA/DB</t>
  </si>
  <si>
    <t>Nonagon</t>
  </si>
  <si>
    <t>Aval N.º 01/23</t>
  </si>
  <si>
    <t>Aval N.º 03/23</t>
  </si>
  <si>
    <t>Aval N.º 04/23</t>
  </si>
  <si>
    <t>Aval N.º 02/23</t>
  </si>
  <si>
    <t>12 meses</t>
  </si>
  <si>
    <t>CB</t>
  </si>
  <si>
    <t>EUR 3M</t>
  </si>
  <si>
    <t>SATA Holding, S.A.</t>
  </si>
  <si>
    <t>Aval N.º 05/23</t>
  </si>
  <si>
    <t>Aval N.º 04/24</t>
  </si>
  <si>
    <t>Agregação das operações Lotaçor - reestruturação após amortizações de 43.332€</t>
  </si>
  <si>
    <t>Encargos diversos: CMVM, Interbolsa e outros + acerto de capital lotaçor CEMAH reestruturado</t>
  </si>
  <si>
    <t xml:space="preserve">Taxa fixa de 1% </t>
  </si>
  <si>
    <t xml:space="preserve">Taxa fixa de 0,945% </t>
  </si>
  <si>
    <t>Taxa fixa de 2,57%</t>
  </si>
  <si>
    <t>Total ISFL 4)</t>
  </si>
  <si>
    <t>Total SPER 5) = 2) + 3) + 4)</t>
  </si>
  <si>
    <t>Total Geral 1) + 5)</t>
  </si>
  <si>
    <t>Visit Azores</t>
  </si>
  <si>
    <t>1) Ao abrigo da RCG N.º 75/2023 procedeu-se à alteração da mutuária Sata Air Açores, S.A. para SATA Holding, S.A., mantendo-se, no demais, os mesmos moldes das garantias originais.</t>
  </si>
  <si>
    <r>
      <t xml:space="preserve">BPI </t>
    </r>
    <r>
      <rPr>
        <vertAlign val="superscript"/>
        <sz val="8"/>
        <rFont val="Lato"/>
        <family val="2"/>
      </rPr>
      <t>1)</t>
    </r>
  </si>
  <si>
    <r>
      <t xml:space="preserve">BIC </t>
    </r>
    <r>
      <rPr>
        <vertAlign val="superscript"/>
        <sz val="8"/>
        <color theme="1"/>
        <rFont val="Lato"/>
        <family val="2"/>
      </rPr>
      <t>1)</t>
    </r>
  </si>
  <si>
    <r>
      <t xml:space="preserve">DB </t>
    </r>
    <r>
      <rPr>
        <vertAlign val="superscript"/>
        <sz val="8"/>
        <color theme="1"/>
        <rFont val="Lato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</si>
</sst>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dd\-mm\-yyyy;@"/>
    <numFmt numFmtId="166" formatCode="dd/mm/yy;@"/>
    <numFmt numFmtId="167" formatCode="_-* #,##0.00\ _E_s_c_._-;\-* #,##0.00\ _E_s_c_._-;_-* &quot;-&quot;??\ _E_s_c_._-;_-@_-"/>
    <numFmt numFmtId="168" formatCode="0.000%"/>
  </numFmts>
  <fonts count="1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Lato"/>
      <family val="2"/>
    </font>
    <font>
      <b/>
      <sz val="8"/>
      <color theme="1"/>
      <name val="Lato"/>
      <family val="2"/>
    </font>
    <font>
      <i/>
      <sz val="8"/>
      <color theme="1"/>
      <name val="Lato"/>
      <family val="2"/>
    </font>
    <font>
      <b/>
      <sz val="8"/>
      <name val="Lato"/>
      <family val="2"/>
    </font>
    <font>
      <b/>
      <i/>
      <sz val="8"/>
      <name val="Lato"/>
      <family val="2"/>
    </font>
    <font>
      <sz val="8"/>
      <name val="Lato"/>
      <family val="2"/>
    </font>
    <font>
      <vertAlign val="superscript"/>
      <sz val="8"/>
      <name val="Lato"/>
      <family val="2"/>
    </font>
    <font>
      <vertAlign val="superscript"/>
      <sz val="8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3" fontId="8" fillId="2" borderId="0" xfId="0" applyNumberFormat="1" applyFont="1" applyFill="1"/>
    <xf numFmtId="4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166" fontId="11" fillId="2" borderId="11" xfId="0" applyNumberFormat="1" applyFont="1" applyFill="1" applyBorder="1" applyAlignment="1">
      <alignment horizontal="center" vertical="center" wrapText="1"/>
    </xf>
    <xf numFmtId="166" fontId="12" fillId="2" borderId="1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4" fontId="13" fillId="2" borderId="0" xfId="0" applyNumberFormat="1" applyFont="1" applyFill="1" applyAlignment="1">
      <alignment horizontal="left" vertical="center"/>
    </xf>
    <xf numFmtId="3" fontId="13" fillId="2" borderId="0" xfId="5" applyNumberFormat="1" applyFont="1" applyFill="1" applyBorder="1" applyAlignment="1">
      <alignment vertical="center"/>
    </xf>
    <xf numFmtId="165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0" fontId="13" fillId="2" borderId="0" xfId="0" applyNumberFormat="1" applyFont="1" applyFill="1" applyAlignment="1">
      <alignment horizontal="left" vertical="center"/>
    </xf>
    <xf numFmtId="10" fontId="13" fillId="2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horizontal="center"/>
    </xf>
    <xf numFmtId="3" fontId="13" fillId="2" borderId="0" xfId="5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14" fontId="13" fillId="2" borderId="5" xfId="0" applyNumberFormat="1" applyFont="1" applyFill="1" applyBorder="1" applyAlignment="1">
      <alignment horizontal="left" vertical="center"/>
    </xf>
    <xf numFmtId="3" fontId="13" fillId="2" borderId="5" xfId="5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/>
    <xf numFmtId="168" fontId="13" fillId="2" borderId="0" xfId="0" applyNumberFormat="1" applyFont="1" applyFill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4" fontId="13" fillId="2" borderId="4" xfId="0" applyNumberFormat="1" applyFont="1" applyFill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right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vertical="center"/>
    </xf>
    <xf numFmtId="3" fontId="13" fillId="2" borderId="3" xfId="5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horizontal="center" vertical="center"/>
    </xf>
    <xf numFmtId="168" fontId="13" fillId="2" borderId="3" xfId="0" applyNumberFormat="1" applyFont="1" applyFill="1" applyBorder="1" applyAlignment="1">
      <alignment vertical="center"/>
    </xf>
    <xf numFmtId="10" fontId="13" fillId="2" borderId="3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/>
    <xf numFmtId="10" fontId="13" fillId="2" borderId="3" xfId="0" applyNumberFormat="1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3" fontId="13" fillId="2" borderId="0" xfId="5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/>
    </xf>
    <xf numFmtId="10" fontId="8" fillId="2" borderId="0" xfId="4" applyNumberFormat="1" applyFont="1" applyFill="1" applyAlignment="1">
      <alignment horizontal="right" vertical="center"/>
    </xf>
    <xf numFmtId="4" fontId="8" fillId="2" borderId="5" xfId="0" applyNumberFormat="1" applyFont="1" applyFill="1" applyBorder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0" fontId="11" fillId="2" borderId="20" xfId="0" applyFont="1" applyFill="1" applyBorder="1" applyAlignment="1">
      <alignment horizontal="center" vertical="center" wrapText="1"/>
    </xf>
    <xf numFmtId="166" fontId="11" fillId="2" borderId="20" xfId="0" applyNumberFormat="1" applyFont="1" applyFill="1" applyBorder="1" applyAlignment="1">
      <alignment horizontal="center" vertical="center" wrapText="1"/>
    </xf>
    <xf numFmtId="166" fontId="12" fillId="2" borderId="2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3" fontId="13" fillId="2" borderId="0" xfId="0" applyNumberFormat="1" applyFont="1" applyFill="1" applyAlignment="1">
      <alignment horizontal="right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 wrapText="1"/>
    </xf>
    <xf numFmtId="4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10" fontId="13" fillId="2" borderId="4" xfId="0" applyNumberFormat="1" applyFont="1" applyFill="1" applyBorder="1" applyAlignment="1">
      <alignment horizontal="left" vertical="center"/>
    </xf>
    <xf numFmtId="10" fontId="13" fillId="2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0" fontId="13" fillId="2" borderId="5" xfId="0" applyNumberFormat="1" applyFont="1" applyFill="1" applyBorder="1" applyAlignment="1">
      <alignment horizontal="right" vertical="center"/>
    </xf>
    <xf numFmtId="1" fontId="13" fillId="2" borderId="0" xfId="0" applyNumberFormat="1" applyFont="1" applyFill="1" applyAlignment="1">
      <alignment horizontal="right" vertical="center" wrapText="1"/>
    </xf>
    <xf numFmtId="1" fontId="13" fillId="2" borderId="0" xfId="5" applyNumberFormat="1" applyFont="1" applyFill="1" applyBorder="1" applyAlignment="1">
      <alignment vertical="center"/>
    </xf>
    <xf numFmtId="3" fontId="13" fillId="2" borderId="4" xfId="5" applyNumberFormat="1" applyFont="1" applyFill="1" applyBorder="1" applyAlignment="1">
      <alignment vertical="center"/>
    </xf>
    <xf numFmtId="165" fontId="13" fillId="2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/>
    </xf>
    <xf numFmtId="3" fontId="13" fillId="0" borderId="0" xfId="5" applyNumberFormat="1" applyFont="1" applyFill="1" applyBorder="1" applyAlignment="1">
      <alignment vertical="center"/>
    </xf>
    <xf numFmtId="1" fontId="13" fillId="0" borderId="0" xfId="5" applyNumberFormat="1" applyFont="1" applyFill="1" applyBorder="1" applyAlignment="1">
      <alignment vertical="center"/>
    </xf>
    <xf numFmtId="3" fontId="13" fillId="0" borderId="4" xfId="5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168" fontId="13" fillId="2" borderId="0" xfId="0" applyNumberFormat="1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0" fontId="13" fillId="2" borderId="0" xfId="0" applyNumberFormat="1" applyFont="1" applyFill="1" applyAlignment="1">
      <alignment horizontal="center" vertical="center"/>
    </xf>
    <xf numFmtId="168" fontId="13" fillId="2" borderId="0" xfId="0" applyNumberFormat="1" applyFont="1" applyFill="1" applyAlignment="1">
      <alignment horizontal="center" vertical="center"/>
    </xf>
    <xf numFmtId="10" fontId="13" fillId="2" borderId="4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6" fontId="11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6" fontId="11" fillId="2" borderId="15" xfId="0" applyNumberFormat="1" applyFont="1" applyFill="1" applyBorder="1" applyAlignment="1">
      <alignment horizontal="center" vertical="center" wrapText="1"/>
    </xf>
    <xf numFmtId="166" fontId="11" fillId="2" borderId="13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3" fontId="8" fillId="2" borderId="5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6" fontId="13" fillId="2" borderId="0" xfId="0" applyNumberFormat="1" applyFont="1" applyFill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</cellXfs>
  <cellStyles count="17">
    <cellStyle name="Normal" xfId="0" builtinId="0"/>
    <cellStyle name="Normal 2" xfId="2" xr:uid="{00000000-0005-0000-0000-000003000000}"/>
    <cellStyle name="Normal 2 2" xfId="11" xr:uid="{00000000-0005-0000-0000-000004000000}"/>
    <cellStyle name="Normal 3" xfId="6" xr:uid="{00000000-0005-0000-0000-000005000000}"/>
    <cellStyle name="Normal 4" xfId="8" xr:uid="{00000000-0005-0000-0000-000006000000}"/>
    <cellStyle name="Normal 5" xfId="12" xr:uid="{00000000-0005-0000-0000-000007000000}"/>
    <cellStyle name="Normal 6" xfId="14" xr:uid="{00000000-0005-0000-0000-000008000000}"/>
    <cellStyle name="Normal 6 2" xfId="3" xr:uid="{00000000-0005-0000-0000-000009000000}"/>
    <cellStyle name="Percentagem" xfId="4" builtinId="5"/>
    <cellStyle name="Percentagem 2" xfId="10" xr:uid="{00000000-0005-0000-0000-00000B000000}"/>
    <cellStyle name="Percentagem 3" xfId="16" xr:uid="{00000000-0005-0000-0000-00000C000000}"/>
    <cellStyle name="Vírgula" xfId="5" builtinId="3"/>
    <cellStyle name="Vírgula 2" xfId="1" xr:uid="{00000000-0005-0000-0000-00000E000000}"/>
    <cellStyle name="Vírgula 2 2" xfId="13" xr:uid="{00000000-0005-0000-0000-00000F000000}"/>
    <cellStyle name="Vírgula 3" xfId="7" xr:uid="{00000000-0005-0000-0000-000010000000}"/>
    <cellStyle name="Vírgula 4" xfId="9" xr:uid="{00000000-0005-0000-0000-000011000000}"/>
    <cellStyle name="Vírgula 5" xfId="15" xr:uid="{00000000-0005-0000-0000-00001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160"/>
  <sheetViews>
    <sheetView showGridLines="0" tabSelected="1" zoomScaleNormal="100" zoomScaleSheetLayoutView="100" workbookViewId="0">
      <pane ySplit="5" topLeftCell="A123" activePane="bottomLeft" state="frozen"/>
      <selection pane="bottomLeft" activeCell="O131" sqref="O131"/>
    </sheetView>
  </sheetViews>
  <sheetFormatPr defaultColWidth="9.140625" defaultRowHeight="12.75" x14ac:dyDescent="0.25"/>
  <cols>
    <col min="1" max="1" width="2.5703125" style="1" customWidth="1"/>
    <col min="2" max="2" width="22.28515625" style="1" bestFit="1" customWidth="1"/>
    <col min="3" max="3" width="24.42578125" style="2" bestFit="1" customWidth="1"/>
    <col min="4" max="4" width="11.28515625" style="1" customWidth="1"/>
    <col min="5" max="6" width="10.85546875" style="8" customWidth="1"/>
    <col min="7" max="7" width="10.85546875" style="9" customWidth="1"/>
    <col min="8" max="8" width="10.85546875" style="5" customWidth="1"/>
    <col min="9" max="9" width="10.85546875" style="1" bestFit="1" customWidth="1"/>
    <col min="10" max="12" width="10.85546875" style="1" customWidth="1"/>
    <col min="13" max="15" width="11.7109375" style="1" customWidth="1"/>
    <col min="16" max="16" width="59.140625" style="1" bestFit="1" customWidth="1"/>
    <col min="17" max="34" width="9.5703125" style="1" customWidth="1"/>
    <col min="35" max="35" width="9.85546875" style="1" customWidth="1"/>
    <col min="36" max="36" width="10.140625" style="1" customWidth="1"/>
    <col min="37" max="16384" width="9.140625" style="1"/>
  </cols>
  <sheetData>
    <row r="1" spans="2:36" x14ac:dyDescent="0.25">
      <c r="E1" s="3"/>
      <c r="F1" s="3"/>
      <c r="G1" s="4"/>
      <c r="I1" s="6"/>
      <c r="J1" s="6"/>
      <c r="K1" s="7"/>
      <c r="L1" s="7"/>
      <c r="N1" s="6"/>
      <c r="O1" s="6"/>
    </row>
    <row r="2" spans="2:36" ht="15" customHeight="1" x14ac:dyDescent="0.25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</row>
    <row r="3" spans="2:36" ht="13.5" thickBot="1" x14ac:dyDescent="0.3">
      <c r="K3" s="10"/>
      <c r="Z3" s="10"/>
      <c r="AH3" s="10" t="s">
        <v>1</v>
      </c>
    </row>
    <row r="4" spans="2:36" ht="35.1" customHeight="1" thickBot="1" x14ac:dyDescent="0.3">
      <c r="B4" s="117" t="s">
        <v>2</v>
      </c>
      <c r="C4" s="102" t="s">
        <v>3</v>
      </c>
      <c r="D4" s="114" t="s">
        <v>4</v>
      </c>
      <c r="E4" s="109" t="s">
        <v>5</v>
      </c>
      <c r="F4" s="109"/>
      <c r="G4" s="121" t="s">
        <v>6</v>
      </c>
      <c r="H4" s="122"/>
      <c r="I4" s="113" t="s">
        <v>125</v>
      </c>
      <c r="J4" s="113" t="s">
        <v>123</v>
      </c>
      <c r="K4" s="113"/>
      <c r="L4" s="113" t="s">
        <v>124</v>
      </c>
      <c r="M4" s="113" t="s">
        <v>7</v>
      </c>
      <c r="N4" s="119" t="s">
        <v>8</v>
      </c>
      <c r="O4" s="125" t="s">
        <v>9</v>
      </c>
      <c r="P4" s="123" t="s">
        <v>10</v>
      </c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2"/>
    </row>
    <row r="5" spans="2:36" ht="20.100000000000001" customHeight="1" thickBot="1" x14ac:dyDescent="0.3">
      <c r="B5" s="118"/>
      <c r="C5" s="103"/>
      <c r="D5" s="115"/>
      <c r="E5" s="11" t="s">
        <v>11</v>
      </c>
      <c r="F5" s="11" t="s">
        <v>12</v>
      </c>
      <c r="G5" s="11" t="s">
        <v>13</v>
      </c>
      <c r="H5" s="12" t="s">
        <v>14</v>
      </c>
      <c r="I5" s="116"/>
      <c r="J5" s="13" t="s">
        <v>15</v>
      </c>
      <c r="K5" s="13" t="s">
        <v>16</v>
      </c>
      <c r="L5" s="116"/>
      <c r="M5" s="116"/>
      <c r="N5" s="120"/>
      <c r="O5" s="126"/>
      <c r="P5" s="124"/>
      <c r="Q5" s="14">
        <v>2024</v>
      </c>
      <c r="R5" s="14">
        <v>2025</v>
      </c>
      <c r="S5" s="14">
        <v>2026</v>
      </c>
      <c r="T5" s="14">
        <v>2027</v>
      </c>
      <c r="U5" s="14">
        <v>2028</v>
      </c>
      <c r="V5" s="14">
        <v>2029</v>
      </c>
      <c r="W5" s="14">
        <v>2030</v>
      </c>
      <c r="X5" s="14">
        <v>2031</v>
      </c>
      <c r="Y5" s="14">
        <v>2032</v>
      </c>
      <c r="Z5" s="14">
        <v>2033</v>
      </c>
      <c r="AA5" s="14">
        <v>2034</v>
      </c>
      <c r="AB5" s="14">
        <v>2035</v>
      </c>
      <c r="AC5" s="14">
        <v>2036</v>
      </c>
      <c r="AD5" s="14">
        <v>2037</v>
      </c>
      <c r="AE5" s="14">
        <v>2038</v>
      </c>
      <c r="AF5" s="14">
        <v>2039</v>
      </c>
      <c r="AG5" s="14">
        <v>2040</v>
      </c>
      <c r="AH5" s="14">
        <v>2041</v>
      </c>
    </row>
    <row r="6" spans="2:36" x14ac:dyDescent="0.25">
      <c r="B6" s="106" t="s">
        <v>17</v>
      </c>
      <c r="C6" s="15" t="s">
        <v>18</v>
      </c>
      <c r="D6" s="16">
        <v>147500000</v>
      </c>
      <c r="E6" s="17">
        <v>42237</v>
      </c>
      <c r="F6" s="17">
        <v>45890</v>
      </c>
      <c r="G6" s="127">
        <v>1.8499999999999999E-2</v>
      </c>
      <c r="H6" s="127"/>
      <c r="I6" s="16">
        <v>48000000</v>
      </c>
      <c r="J6" s="16">
        <v>16000000</v>
      </c>
      <c r="K6" s="16">
        <v>0</v>
      </c>
      <c r="L6" s="16">
        <f>+I6-J6</f>
        <v>32000000</v>
      </c>
      <c r="M6" s="16">
        <v>897866.67</v>
      </c>
      <c r="N6" s="16">
        <v>6925.5</v>
      </c>
      <c r="O6" s="16">
        <f t="shared" ref="O6:O37" si="0">+D6-L6</f>
        <v>115500000</v>
      </c>
      <c r="P6" s="18"/>
      <c r="Q6" s="16">
        <v>16000000</v>
      </c>
      <c r="R6" s="16">
        <v>16000000</v>
      </c>
      <c r="S6" s="16"/>
      <c r="T6" s="16"/>
      <c r="U6" s="16"/>
      <c r="V6" s="16"/>
      <c r="W6" s="16"/>
      <c r="X6" s="16"/>
      <c r="Y6" s="16"/>
      <c r="Z6" s="16"/>
      <c r="AI6" s="6">
        <f>+L6-Q6-R6-S6-T6-U6-V6-W6-X6-Y6-Z6-AA6-AB6-AC6-AD6-AE6-AF6-AG6-AH6</f>
        <v>0</v>
      </c>
      <c r="AJ6" s="6"/>
    </row>
    <row r="7" spans="2:36" x14ac:dyDescent="0.25">
      <c r="B7" s="107"/>
      <c r="C7" s="15" t="s">
        <v>19</v>
      </c>
      <c r="D7" s="16">
        <v>50000000</v>
      </c>
      <c r="E7" s="17">
        <v>42324</v>
      </c>
      <c r="F7" s="17">
        <v>45978</v>
      </c>
      <c r="G7" s="19" t="s">
        <v>20</v>
      </c>
      <c r="H7" s="20">
        <v>2.4E-2</v>
      </c>
      <c r="I7" s="16">
        <v>18750000</v>
      </c>
      <c r="J7" s="16">
        <v>6250000</v>
      </c>
      <c r="K7" s="16">
        <v>0</v>
      </c>
      <c r="L7" s="16">
        <f t="shared" ref="L7:L52" si="1">+I7-J7</f>
        <v>12500000</v>
      </c>
      <c r="M7" s="16">
        <v>928762.33000000007</v>
      </c>
      <c r="N7" s="16">
        <v>8609.1200000000008</v>
      </c>
      <c r="O7" s="16">
        <f t="shared" si="0"/>
        <v>37500000</v>
      </c>
      <c r="P7" s="18"/>
      <c r="Q7" s="16">
        <v>6250000</v>
      </c>
      <c r="R7" s="16">
        <v>6250000</v>
      </c>
      <c r="S7" s="16"/>
      <c r="T7" s="16"/>
      <c r="U7" s="16"/>
      <c r="V7" s="16"/>
      <c r="W7" s="16"/>
      <c r="X7" s="16"/>
      <c r="Y7" s="16"/>
      <c r="Z7" s="16"/>
      <c r="AI7" s="6">
        <f t="shared" ref="AI7:AI70" si="2">+L7-Q7-R7-S7-T7-U7-V7-W7-X7-Y7-Z7-AA7-AB7-AC7-AD7-AE7-AF7-AG7-AH7</f>
        <v>0</v>
      </c>
      <c r="AJ7" s="6"/>
    </row>
    <row r="8" spans="2:36" x14ac:dyDescent="0.25">
      <c r="B8" s="107"/>
      <c r="C8" s="15" t="s">
        <v>21</v>
      </c>
      <c r="D8" s="16">
        <v>40000000</v>
      </c>
      <c r="E8" s="17">
        <v>42451</v>
      </c>
      <c r="F8" s="17">
        <v>45015</v>
      </c>
      <c r="G8" s="19" t="s">
        <v>22</v>
      </c>
      <c r="H8" s="20">
        <v>1.7500000000000002E-2</v>
      </c>
      <c r="I8" s="16">
        <v>39550000</v>
      </c>
      <c r="J8" s="16">
        <v>39550000</v>
      </c>
      <c r="K8" s="16">
        <v>0</v>
      </c>
      <c r="L8" s="16">
        <f t="shared" si="1"/>
        <v>0</v>
      </c>
      <c r="M8" s="16">
        <v>347985.06</v>
      </c>
      <c r="N8" s="16">
        <v>15</v>
      </c>
      <c r="O8" s="16">
        <f t="shared" si="0"/>
        <v>40000000</v>
      </c>
      <c r="P8" s="18"/>
      <c r="Q8" s="16"/>
      <c r="R8" s="16"/>
      <c r="S8" s="16"/>
      <c r="T8" s="16"/>
      <c r="U8" s="16"/>
      <c r="V8" s="16"/>
      <c r="W8" s="16"/>
      <c r="X8" s="16"/>
      <c r="Y8" s="16"/>
      <c r="Z8" s="16"/>
      <c r="AI8" s="6">
        <f t="shared" si="2"/>
        <v>0</v>
      </c>
      <c r="AJ8" s="6"/>
    </row>
    <row r="9" spans="2:36" x14ac:dyDescent="0.25">
      <c r="B9" s="107"/>
      <c r="C9" s="15" t="s">
        <v>23</v>
      </c>
      <c r="D9" s="16">
        <v>43500000</v>
      </c>
      <c r="E9" s="17">
        <v>42537</v>
      </c>
      <c r="F9" s="17">
        <v>45093</v>
      </c>
      <c r="G9" s="19" t="s">
        <v>22</v>
      </c>
      <c r="H9" s="20">
        <v>0.02</v>
      </c>
      <c r="I9" s="16">
        <v>3782333.34</v>
      </c>
      <c r="J9" s="16">
        <v>3782333.34</v>
      </c>
      <c r="K9" s="16">
        <v>0</v>
      </c>
      <c r="L9" s="16">
        <f t="shared" si="1"/>
        <v>0</v>
      </c>
      <c r="M9" s="16">
        <v>43731.548206710002</v>
      </c>
      <c r="N9" s="16">
        <v>0</v>
      </c>
      <c r="O9" s="16">
        <f t="shared" si="0"/>
        <v>43500000</v>
      </c>
      <c r="P9" s="18"/>
      <c r="Q9" s="16"/>
      <c r="R9" s="16"/>
      <c r="S9" s="16"/>
      <c r="T9" s="16"/>
      <c r="U9" s="16"/>
      <c r="V9" s="16"/>
      <c r="W9" s="16"/>
      <c r="X9" s="16"/>
      <c r="Y9" s="16"/>
      <c r="Z9" s="16"/>
      <c r="AI9" s="6">
        <f t="shared" si="2"/>
        <v>0</v>
      </c>
      <c r="AJ9" s="6"/>
    </row>
    <row r="10" spans="2:36" x14ac:dyDescent="0.25">
      <c r="B10" s="107"/>
      <c r="C10" s="15" t="s">
        <v>19</v>
      </c>
      <c r="D10" s="16">
        <v>105000000</v>
      </c>
      <c r="E10" s="17">
        <v>42590</v>
      </c>
      <c r="F10" s="17">
        <v>46973</v>
      </c>
      <c r="G10" s="19" t="s">
        <v>20</v>
      </c>
      <c r="H10" s="20">
        <v>7.4999999999999997E-3</v>
      </c>
      <c r="I10" s="16">
        <v>21000000</v>
      </c>
      <c r="J10" s="16">
        <v>10500000</v>
      </c>
      <c r="K10" s="16">
        <v>0</v>
      </c>
      <c r="L10" s="16">
        <f t="shared" si="1"/>
        <v>10500000</v>
      </c>
      <c r="M10" s="16">
        <v>585024.99</v>
      </c>
      <c r="N10" s="16">
        <v>58415.7</v>
      </c>
      <c r="O10" s="16">
        <f t="shared" si="0"/>
        <v>94500000</v>
      </c>
      <c r="P10" s="18" t="s">
        <v>126</v>
      </c>
      <c r="Q10" s="16"/>
      <c r="R10" s="16"/>
      <c r="S10" s="16"/>
      <c r="T10" s="16"/>
      <c r="U10" s="16">
        <v>10500000</v>
      </c>
      <c r="V10" s="16"/>
      <c r="W10" s="16"/>
      <c r="X10" s="16"/>
      <c r="Y10" s="16"/>
      <c r="Z10" s="16"/>
      <c r="AI10" s="6">
        <f t="shared" si="2"/>
        <v>0</v>
      </c>
      <c r="AJ10" s="6"/>
    </row>
    <row r="11" spans="2:36" x14ac:dyDescent="0.25">
      <c r="B11" s="107"/>
      <c r="C11" s="15" t="s">
        <v>23</v>
      </c>
      <c r="D11" s="16">
        <v>63000000</v>
      </c>
      <c r="E11" s="17">
        <v>42860</v>
      </c>
      <c r="F11" s="17">
        <v>45782</v>
      </c>
      <c r="G11" s="100">
        <v>3.7999999999999999E-2</v>
      </c>
      <c r="H11" s="100"/>
      <c r="I11" s="16">
        <v>26250000</v>
      </c>
      <c r="J11" s="16">
        <v>5250000</v>
      </c>
      <c r="K11" s="16">
        <v>0</v>
      </c>
      <c r="L11" s="16">
        <f t="shared" si="1"/>
        <v>21000000</v>
      </c>
      <c r="M11" s="16">
        <v>673312.49</v>
      </c>
      <c r="N11" s="16">
        <v>20000</v>
      </c>
      <c r="O11" s="16">
        <f t="shared" si="0"/>
        <v>42000000</v>
      </c>
      <c r="P11" s="18" t="s">
        <v>127</v>
      </c>
      <c r="Q11" s="16">
        <f>10500000+5250000</f>
        <v>15750000</v>
      </c>
      <c r="R11" s="16">
        <v>5250000</v>
      </c>
      <c r="S11" s="16"/>
      <c r="T11" s="16"/>
      <c r="U11" s="16"/>
      <c r="V11" s="16"/>
      <c r="W11" s="16"/>
      <c r="X11" s="16"/>
      <c r="Y11" s="16"/>
      <c r="Z11" s="16"/>
      <c r="AI11" s="6">
        <f t="shared" si="2"/>
        <v>0</v>
      </c>
      <c r="AJ11" s="6"/>
    </row>
    <row r="12" spans="2:36" x14ac:dyDescent="0.25">
      <c r="B12" s="107"/>
      <c r="C12" s="15" t="s">
        <v>24</v>
      </c>
      <c r="D12" s="16">
        <v>35000000</v>
      </c>
      <c r="E12" s="17">
        <v>42892</v>
      </c>
      <c r="F12" s="17">
        <v>45820</v>
      </c>
      <c r="G12" s="19" t="s">
        <v>22</v>
      </c>
      <c r="H12" s="20">
        <v>2.4E-2</v>
      </c>
      <c r="I12" s="16">
        <v>17500001</v>
      </c>
      <c r="J12" s="16">
        <v>5833333</v>
      </c>
      <c r="K12" s="16">
        <v>0</v>
      </c>
      <c r="L12" s="16">
        <f t="shared" si="1"/>
        <v>11666668</v>
      </c>
      <c r="M12" s="16">
        <v>526791.34</v>
      </c>
      <c r="N12" s="16">
        <v>3500</v>
      </c>
      <c r="O12" s="16">
        <f t="shared" si="0"/>
        <v>23333332</v>
      </c>
      <c r="P12" s="18"/>
      <c r="Q12" s="16">
        <v>5833333</v>
      </c>
      <c r="R12" s="16">
        <v>5833335</v>
      </c>
      <c r="S12" s="16"/>
      <c r="T12" s="16"/>
      <c r="U12" s="16"/>
      <c r="V12" s="16"/>
      <c r="W12" s="16"/>
      <c r="X12" s="16"/>
      <c r="Y12" s="16"/>
      <c r="Z12" s="16"/>
      <c r="AI12" s="6">
        <f t="shared" si="2"/>
        <v>0</v>
      </c>
      <c r="AJ12" s="6"/>
    </row>
    <row r="13" spans="2:36" x14ac:dyDescent="0.25">
      <c r="B13" s="107"/>
      <c r="C13" s="15" t="s">
        <v>25</v>
      </c>
      <c r="D13" s="16">
        <v>30000000</v>
      </c>
      <c r="E13" s="17">
        <v>42898</v>
      </c>
      <c r="F13" s="17">
        <v>46552</v>
      </c>
      <c r="G13" s="19" t="s">
        <v>22</v>
      </c>
      <c r="H13" s="20">
        <v>2.4E-2</v>
      </c>
      <c r="I13" s="16">
        <v>30000000</v>
      </c>
      <c r="J13" s="16">
        <v>0</v>
      </c>
      <c r="K13" s="16">
        <v>0</v>
      </c>
      <c r="L13" s="16">
        <f t="shared" si="1"/>
        <v>30000000</v>
      </c>
      <c r="M13" s="16">
        <v>1767345</v>
      </c>
      <c r="N13" s="16">
        <v>0</v>
      </c>
      <c r="O13" s="16">
        <f t="shared" si="0"/>
        <v>0</v>
      </c>
      <c r="P13" s="18"/>
      <c r="Q13" s="16"/>
      <c r="R13" s="16"/>
      <c r="S13" s="16"/>
      <c r="T13" s="16">
        <v>30000000</v>
      </c>
      <c r="U13" s="16"/>
      <c r="V13" s="16"/>
      <c r="W13" s="16"/>
      <c r="X13" s="16"/>
      <c r="Y13" s="16"/>
      <c r="Z13" s="16"/>
      <c r="AI13" s="6">
        <f t="shared" si="2"/>
        <v>0</v>
      </c>
      <c r="AJ13" s="6"/>
    </row>
    <row r="14" spans="2:36" x14ac:dyDescent="0.25">
      <c r="B14" s="107"/>
      <c r="C14" s="15" t="s">
        <v>23</v>
      </c>
      <c r="D14" s="16">
        <v>40000000</v>
      </c>
      <c r="E14" s="17">
        <v>43220</v>
      </c>
      <c r="F14" s="17">
        <v>46142</v>
      </c>
      <c r="G14" s="100">
        <v>3.2500000000000001E-2</v>
      </c>
      <c r="H14" s="100"/>
      <c r="I14" s="16">
        <v>23333333.350000001</v>
      </c>
      <c r="J14" s="16">
        <v>3333333.33</v>
      </c>
      <c r="K14" s="16">
        <v>0</v>
      </c>
      <c r="L14" s="16">
        <f t="shared" si="1"/>
        <v>20000000.020000003</v>
      </c>
      <c r="M14" s="16">
        <v>675000</v>
      </c>
      <c r="N14" s="16">
        <v>20000</v>
      </c>
      <c r="O14" s="16">
        <f t="shared" si="0"/>
        <v>19999999.979999997</v>
      </c>
      <c r="P14" s="18" t="s">
        <v>127</v>
      </c>
      <c r="Q14" s="16">
        <f>6666666.66+3333333.33</f>
        <v>9999999.9900000002</v>
      </c>
      <c r="R14" s="16">
        <v>6666666.6600000001</v>
      </c>
      <c r="S14" s="16">
        <v>3333333.37</v>
      </c>
      <c r="T14" s="16"/>
      <c r="U14" s="16"/>
      <c r="V14" s="16"/>
      <c r="W14" s="16"/>
      <c r="X14" s="16"/>
      <c r="Y14" s="16"/>
      <c r="Z14" s="16"/>
      <c r="AI14" s="6">
        <f t="shared" si="2"/>
        <v>2.7939677238464355E-9</v>
      </c>
      <c r="AJ14" s="6"/>
    </row>
    <row r="15" spans="2:36" x14ac:dyDescent="0.25">
      <c r="B15" s="107"/>
      <c r="C15" s="15" t="s">
        <v>26</v>
      </c>
      <c r="D15" s="16">
        <v>50000000</v>
      </c>
      <c r="E15" s="17">
        <v>43259</v>
      </c>
      <c r="F15" s="17">
        <v>46912</v>
      </c>
      <c r="G15" s="19" t="s">
        <v>22</v>
      </c>
      <c r="H15" s="20">
        <v>1.7500000000000002E-2</v>
      </c>
      <c r="I15" s="16">
        <v>50000000</v>
      </c>
      <c r="J15" s="16">
        <v>4500000</v>
      </c>
      <c r="K15" s="16">
        <v>0</v>
      </c>
      <c r="L15" s="16">
        <f t="shared" si="1"/>
        <v>45500000</v>
      </c>
      <c r="M15" s="16">
        <v>1289634.31</v>
      </c>
      <c r="N15" s="16">
        <v>30</v>
      </c>
      <c r="O15" s="16">
        <f t="shared" si="0"/>
        <v>4500000</v>
      </c>
      <c r="P15" s="18"/>
      <c r="Q15" s="16">
        <v>4500000</v>
      </c>
      <c r="R15" s="16">
        <v>4500000</v>
      </c>
      <c r="S15" s="16">
        <v>4500000</v>
      </c>
      <c r="T15" s="16">
        <v>4500000</v>
      </c>
      <c r="U15" s="16">
        <v>27500000</v>
      </c>
      <c r="V15" s="16"/>
      <c r="W15" s="16"/>
      <c r="X15" s="16"/>
      <c r="Y15" s="16"/>
      <c r="Z15" s="16"/>
      <c r="AI15" s="6">
        <f t="shared" si="2"/>
        <v>0</v>
      </c>
      <c r="AJ15" s="6"/>
    </row>
    <row r="16" spans="2:36" x14ac:dyDescent="0.25">
      <c r="B16" s="107"/>
      <c r="C16" s="15" t="s">
        <v>26</v>
      </c>
      <c r="D16" s="16">
        <v>51000000</v>
      </c>
      <c r="E16" s="17">
        <v>43419</v>
      </c>
      <c r="F16" s="17">
        <v>47072</v>
      </c>
      <c r="G16" s="19" t="s">
        <v>22</v>
      </c>
      <c r="H16" s="20">
        <v>1.7500000000000002E-2</v>
      </c>
      <c r="I16" s="16">
        <v>51000000</v>
      </c>
      <c r="J16" s="16">
        <v>4590000</v>
      </c>
      <c r="K16" s="16">
        <v>0</v>
      </c>
      <c r="L16" s="16">
        <f t="shared" si="1"/>
        <v>46410000</v>
      </c>
      <c r="M16" s="16">
        <v>2212942.1900000004</v>
      </c>
      <c r="N16" s="16">
        <v>20</v>
      </c>
      <c r="O16" s="16">
        <f t="shared" si="0"/>
        <v>4590000</v>
      </c>
      <c r="P16" s="18"/>
      <c r="Q16" s="16">
        <v>4590000</v>
      </c>
      <c r="R16" s="16">
        <v>4590000</v>
      </c>
      <c r="S16" s="16">
        <v>4590000</v>
      </c>
      <c r="T16" s="16">
        <v>4590000</v>
      </c>
      <c r="U16" s="16">
        <v>28050000</v>
      </c>
      <c r="V16" s="16"/>
      <c r="W16" s="16"/>
      <c r="X16" s="16"/>
      <c r="Y16" s="16"/>
      <c r="Z16" s="16"/>
      <c r="AI16" s="6">
        <f t="shared" si="2"/>
        <v>0</v>
      </c>
      <c r="AJ16" s="6"/>
    </row>
    <row r="17" spans="2:36" x14ac:dyDescent="0.25">
      <c r="B17" s="107"/>
      <c r="C17" s="15" t="s">
        <v>27</v>
      </c>
      <c r="D17" s="16">
        <v>223500000</v>
      </c>
      <c r="E17" s="17">
        <v>43669</v>
      </c>
      <c r="F17" s="17">
        <v>47298</v>
      </c>
      <c r="G17" s="100">
        <v>1.0059999999999999E-2</v>
      </c>
      <c r="H17" s="100"/>
      <c r="I17" s="16">
        <v>223500000</v>
      </c>
      <c r="J17" s="16">
        <v>0</v>
      </c>
      <c r="K17" s="16">
        <v>0</v>
      </c>
      <c r="L17" s="16">
        <f t="shared" si="1"/>
        <v>223500000</v>
      </c>
      <c r="M17" s="16">
        <v>2248410</v>
      </c>
      <c r="N17" s="16">
        <v>9506.7200000000012</v>
      </c>
      <c r="O17" s="16">
        <f t="shared" si="0"/>
        <v>0</v>
      </c>
      <c r="P17" s="18"/>
      <c r="Q17" s="16"/>
      <c r="R17" s="16"/>
      <c r="S17" s="16"/>
      <c r="T17" s="16"/>
      <c r="U17" s="16"/>
      <c r="V17" s="16">
        <v>223500000</v>
      </c>
      <c r="W17" s="16"/>
      <c r="X17" s="16"/>
      <c r="Y17" s="16"/>
      <c r="Z17" s="16"/>
      <c r="AI17" s="6">
        <f t="shared" si="2"/>
        <v>0</v>
      </c>
      <c r="AJ17" s="6"/>
    </row>
    <row r="18" spans="2:36" x14ac:dyDescent="0.25">
      <c r="B18" s="107"/>
      <c r="C18" s="15" t="s">
        <v>25</v>
      </c>
      <c r="D18" s="16">
        <v>25000000</v>
      </c>
      <c r="E18" s="17">
        <v>43900</v>
      </c>
      <c r="F18" s="17">
        <v>45726</v>
      </c>
      <c r="G18" s="19" t="s">
        <v>20</v>
      </c>
      <c r="H18" s="20">
        <v>9.4999999999999998E-3</v>
      </c>
      <c r="I18" s="16">
        <v>12500000</v>
      </c>
      <c r="J18" s="16">
        <v>2500000</v>
      </c>
      <c r="K18" s="16">
        <v>0</v>
      </c>
      <c r="L18" s="16">
        <v>10000000</v>
      </c>
      <c r="M18" s="16">
        <v>367281.80000000005</v>
      </c>
      <c r="N18" s="16">
        <v>75000</v>
      </c>
      <c r="O18" s="16">
        <f t="shared" si="0"/>
        <v>15000000</v>
      </c>
      <c r="P18" s="18" t="s">
        <v>28</v>
      </c>
      <c r="Q18" s="16"/>
      <c r="R18" s="16"/>
      <c r="S18" s="16"/>
      <c r="T18" s="16">
        <v>5000000</v>
      </c>
      <c r="U18" s="16">
        <v>5000000</v>
      </c>
      <c r="V18" s="16"/>
      <c r="W18" s="16"/>
      <c r="X18" s="16"/>
      <c r="Y18" s="16"/>
      <c r="Z18" s="16"/>
      <c r="AI18" s="6">
        <f t="shared" si="2"/>
        <v>0</v>
      </c>
      <c r="AJ18" s="6"/>
    </row>
    <row r="19" spans="2:36" x14ac:dyDescent="0.25">
      <c r="B19" s="107"/>
      <c r="C19" s="15" t="s">
        <v>29</v>
      </c>
      <c r="D19" s="16">
        <v>1500000</v>
      </c>
      <c r="E19" s="17">
        <v>43880</v>
      </c>
      <c r="F19" s="17">
        <v>45707</v>
      </c>
      <c r="G19" s="19" t="s">
        <v>20</v>
      </c>
      <c r="H19" s="20">
        <v>1.2500000000000001E-2</v>
      </c>
      <c r="I19" s="16">
        <v>900000</v>
      </c>
      <c r="J19" s="16">
        <v>300000</v>
      </c>
      <c r="K19" s="16">
        <v>0</v>
      </c>
      <c r="L19" s="16">
        <f t="shared" si="1"/>
        <v>600000</v>
      </c>
      <c r="M19" s="16">
        <v>11406.25</v>
      </c>
      <c r="N19" s="16">
        <v>0</v>
      </c>
      <c r="O19" s="16">
        <f t="shared" si="0"/>
        <v>900000</v>
      </c>
      <c r="P19" s="18" t="s">
        <v>28</v>
      </c>
      <c r="Q19" s="16">
        <v>300000</v>
      </c>
      <c r="R19" s="16">
        <v>300000</v>
      </c>
      <c r="S19" s="16"/>
      <c r="T19" s="16"/>
      <c r="U19" s="16"/>
      <c r="V19" s="16"/>
      <c r="W19" s="16"/>
      <c r="X19" s="16"/>
      <c r="Y19" s="16"/>
      <c r="Z19" s="16"/>
      <c r="AI19" s="6">
        <f t="shared" si="2"/>
        <v>0</v>
      </c>
      <c r="AJ19" s="6"/>
    </row>
    <row r="20" spans="2:36" x14ac:dyDescent="0.25">
      <c r="B20" s="107"/>
      <c r="C20" s="15" t="s">
        <v>24</v>
      </c>
      <c r="D20" s="16">
        <v>12368873.42</v>
      </c>
      <c r="E20" s="17">
        <v>43844</v>
      </c>
      <c r="F20" s="17">
        <v>46051</v>
      </c>
      <c r="G20" s="19" t="s">
        <v>20</v>
      </c>
      <c r="H20" s="20">
        <v>2.5000000000000001E-2</v>
      </c>
      <c r="I20" s="16">
        <v>8245915.5999999996</v>
      </c>
      <c r="J20" s="16">
        <v>2061478.9</v>
      </c>
      <c r="K20" s="16">
        <v>0</v>
      </c>
      <c r="L20" s="16">
        <f t="shared" si="1"/>
        <v>6184436.6999999993</v>
      </c>
      <c r="M20" s="16">
        <v>209011.06</v>
      </c>
      <c r="N20" s="16">
        <v>3500</v>
      </c>
      <c r="O20" s="16">
        <f t="shared" si="0"/>
        <v>6184436.7200000007</v>
      </c>
      <c r="P20" s="18" t="s">
        <v>28</v>
      </c>
      <c r="Q20" s="16">
        <v>2061478.9</v>
      </c>
      <c r="R20" s="16">
        <v>2061478.9</v>
      </c>
      <c r="S20" s="16">
        <v>2061478.9</v>
      </c>
      <c r="T20" s="16"/>
      <c r="U20" s="16"/>
      <c r="V20" s="16"/>
      <c r="W20" s="16"/>
      <c r="X20" s="16"/>
      <c r="Y20" s="16"/>
      <c r="Z20" s="16"/>
      <c r="AI20" s="6">
        <f t="shared" si="2"/>
        <v>-4.6566128730773926E-10</v>
      </c>
      <c r="AJ20" s="6"/>
    </row>
    <row r="21" spans="2:36" x14ac:dyDescent="0.25">
      <c r="B21" s="107"/>
      <c r="C21" s="15" t="s">
        <v>23</v>
      </c>
      <c r="D21" s="16">
        <v>24500000</v>
      </c>
      <c r="E21" s="17">
        <v>43881</v>
      </c>
      <c r="F21" s="17">
        <v>45342</v>
      </c>
      <c r="G21" s="19" t="s">
        <v>22</v>
      </c>
      <c r="H21" s="20">
        <v>0.02</v>
      </c>
      <c r="I21" s="16">
        <v>9500000</v>
      </c>
      <c r="J21" s="16">
        <v>4750000</v>
      </c>
      <c r="K21" s="16">
        <v>0</v>
      </c>
      <c r="L21" s="16">
        <f t="shared" si="1"/>
        <v>4750000</v>
      </c>
      <c r="M21" s="16">
        <v>192638.89</v>
      </c>
      <c r="N21" s="16">
        <v>0</v>
      </c>
      <c r="O21" s="16">
        <f t="shared" si="0"/>
        <v>19750000</v>
      </c>
      <c r="P21" s="18" t="s">
        <v>28</v>
      </c>
      <c r="Q21" s="16">
        <v>4750000</v>
      </c>
      <c r="R21" s="16"/>
      <c r="S21" s="16"/>
      <c r="T21" s="16"/>
      <c r="U21" s="16"/>
      <c r="V21" s="16"/>
      <c r="W21" s="16"/>
      <c r="X21" s="16"/>
      <c r="Y21" s="16"/>
      <c r="Z21" s="16"/>
      <c r="AI21" s="6">
        <f t="shared" si="2"/>
        <v>0</v>
      </c>
      <c r="AJ21" s="6"/>
    </row>
    <row r="22" spans="2:36" x14ac:dyDescent="0.25">
      <c r="B22" s="107"/>
      <c r="C22" s="15" t="s">
        <v>23</v>
      </c>
      <c r="D22" s="16">
        <v>29800000</v>
      </c>
      <c r="E22" s="17">
        <v>43866</v>
      </c>
      <c r="F22" s="17">
        <v>45721</v>
      </c>
      <c r="G22" s="19" t="s">
        <v>22</v>
      </c>
      <c r="H22" s="20">
        <v>2.2499999999999999E-2</v>
      </c>
      <c r="I22" s="16">
        <v>17880000</v>
      </c>
      <c r="J22" s="16">
        <v>5960000</v>
      </c>
      <c r="K22" s="16">
        <v>0</v>
      </c>
      <c r="L22" s="16">
        <f t="shared" si="1"/>
        <v>11920000</v>
      </c>
      <c r="M22" s="16">
        <v>402300</v>
      </c>
      <c r="N22" s="16">
        <v>0</v>
      </c>
      <c r="O22" s="16">
        <f t="shared" si="0"/>
        <v>17880000</v>
      </c>
      <c r="P22" s="18" t="s">
        <v>30</v>
      </c>
      <c r="Q22" s="16">
        <v>5960000</v>
      </c>
      <c r="R22" s="16">
        <v>5960000</v>
      </c>
      <c r="S22" s="16"/>
      <c r="T22" s="16"/>
      <c r="U22" s="16"/>
      <c r="V22" s="16"/>
      <c r="W22" s="16"/>
      <c r="X22" s="16"/>
      <c r="Y22" s="16"/>
      <c r="Z22" s="16"/>
      <c r="AI22" s="6">
        <f t="shared" si="2"/>
        <v>0</v>
      </c>
      <c r="AJ22" s="6"/>
    </row>
    <row r="23" spans="2:36" x14ac:dyDescent="0.25">
      <c r="B23" s="107"/>
      <c r="C23" s="15" t="s">
        <v>31</v>
      </c>
      <c r="D23" s="16">
        <v>180000000</v>
      </c>
      <c r="E23" s="17">
        <v>43957</v>
      </c>
      <c r="F23" s="17">
        <v>46485</v>
      </c>
      <c r="G23" s="100">
        <v>1.448E-2</v>
      </c>
      <c r="H23" s="100"/>
      <c r="I23" s="16">
        <v>180000000</v>
      </c>
      <c r="J23" s="16">
        <v>0</v>
      </c>
      <c r="K23" s="16">
        <v>0</v>
      </c>
      <c r="L23" s="16">
        <f t="shared" si="1"/>
        <v>180000000</v>
      </c>
      <c r="M23" s="16">
        <v>2606400</v>
      </c>
      <c r="N23" s="16">
        <v>7500</v>
      </c>
      <c r="O23" s="16">
        <f t="shared" si="0"/>
        <v>0</v>
      </c>
      <c r="P23" s="18"/>
      <c r="Q23" s="16"/>
      <c r="R23" s="16"/>
      <c r="S23" s="16"/>
      <c r="T23" s="16">
        <v>180000000</v>
      </c>
      <c r="U23" s="16"/>
      <c r="V23" s="16"/>
      <c r="W23" s="16"/>
      <c r="X23" s="16"/>
      <c r="Y23" s="16"/>
      <c r="Z23" s="16"/>
      <c r="AI23" s="6">
        <f t="shared" si="2"/>
        <v>0</v>
      </c>
      <c r="AJ23" s="6"/>
    </row>
    <row r="24" spans="2:36" x14ac:dyDescent="0.25">
      <c r="B24" s="107"/>
      <c r="C24" s="15" t="s">
        <v>32</v>
      </c>
      <c r="D24" s="16">
        <v>200000000</v>
      </c>
      <c r="E24" s="17">
        <v>43971</v>
      </c>
      <c r="F24" s="17">
        <v>47623</v>
      </c>
      <c r="G24" s="100">
        <v>1.55E-2</v>
      </c>
      <c r="H24" s="100"/>
      <c r="I24" s="16">
        <v>200000000</v>
      </c>
      <c r="J24" s="16">
        <v>0</v>
      </c>
      <c r="K24" s="16">
        <v>0</v>
      </c>
      <c r="L24" s="16">
        <f t="shared" si="1"/>
        <v>200000000</v>
      </c>
      <c r="M24" s="16">
        <v>3100000</v>
      </c>
      <c r="N24" s="16">
        <v>7649.09</v>
      </c>
      <c r="O24" s="16">
        <f t="shared" si="0"/>
        <v>0</v>
      </c>
      <c r="P24" s="18"/>
      <c r="Q24" s="16"/>
      <c r="R24" s="16"/>
      <c r="S24" s="16"/>
      <c r="T24" s="16"/>
      <c r="U24" s="16"/>
      <c r="V24" s="16"/>
      <c r="W24" s="16">
        <v>200000000</v>
      </c>
      <c r="X24" s="16"/>
      <c r="Y24" s="16"/>
      <c r="Z24" s="16"/>
      <c r="AI24" s="6">
        <f t="shared" si="2"/>
        <v>0</v>
      </c>
      <c r="AJ24" s="6"/>
    </row>
    <row r="25" spans="2:36" x14ac:dyDescent="0.25">
      <c r="B25" s="107"/>
      <c r="C25" s="15" t="s">
        <v>33</v>
      </c>
      <c r="D25" s="16">
        <v>285000000</v>
      </c>
      <c r="E25" s="17">
        <v>44111</v>
      </c>
      <c r="F25" s="17">
        <v>46126</v>
      </c>
      <c r="G25" s="100">
        <v>1.095E-2</v>
      </c>
      <c r="H25" s="100"/>
      <c r="I25" s="16">
        <v>285000000</v>
      </c>
      <c r="J25" s="16">
        <v>0</v>
      </c>
      <c r="K25" s="16">
        <v>0</v>
      </c>
      <c r="L25" s="16">
        <f t="shared" si="1"/>
        <v>285000000</v>
      </c>
      <c r="M25" s="16">
        <v>1718550</v>
      </c>
      <c r="N25" s="16">
        <v>3713.15</v>
      </c>
      <c r="O25" s="16">
        <f t="shared" si="0"/>
        <v>0</v>
      </c>
      <c r="P25" s="18"/>
      <c r="Q25" s="16"/>
      <c r="R25" s="16"/>
      <c r="S25" s="16">
        <v>285000000</v>
      </c>
      <c r="T25" s="16"/>
      <c r="U25" s="16"/>
      <c r="V25" s="16"/>
      <c r="W25" s="16"/>
      <c r="X25" s="16"/>
      <c r="Y25" s="16"/>
      <c r="Z25" s="16"/>
      <c r="AI25" s="6">
        <f t="shared" si="2"/>
        <v>0</v>
      </c>
      <c r="AJ25" s="6"/>
    </row>
    <row r="26" spans="2:36" x14ac:dyDescent="0.25">
      <c r="B26" s="107"/>
      <c r="C26" s="15" t="s">
        <v>34</v>
      </c>
      <c r="D26" s="16">
        <v>435000000</v>
      </c>
      <c r="E26" s="17">
        <v>44466</v>
      </c>
      <c r="F26" s="17">
        <v>49945</v>
      </c>
      <c r="G26" s="100">
        <v>6.0299999999999998E-3</v>
      </c>
      <c r="H26" s="100"/>
      <c r="I26" s="16">
        <v>435000000</v>
      </c>
      <c r="J26" s="16">
        <v>0</v>
      </c>
      <c r="K26" s="16">
        <v>0</v>
      </c>
      <c r="L26" s="16">
        <f t="shared" si="1"/>
        <v>435000000</v>
      </c>
      <c r="M26" s="16">
        <v>4763250</v>
      </c>
      <c r="N26" s="16">
        <v>3605</v>
      </c>
      <c r="O26" s="16">
        <f t="shared" si="0"/>
        <v>0</v>
      </c>
      <c r="P26" s="18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>
        <v>435000000</v>
      </c>
      <c r="AI26" s="6">
        <f t="shared" si="2"/>
        <v>0</v>
      </c>
      <c r="AJ26" s="6"/>
    </row>
    <row r="27" spans="2:36" x14ac:dyDescent="0.25">
      <c r="B27" s="107"/>
      <c r="C27" s="15" t="s">
        <v>34</v>
      </c>
      <c r="D27" s="16">
        <v>455000000</v>
      </c>
      <c r="E27" s="17">
        <v>44657</v>
      </c>
      <c r="F27" s="17">
        <v>48310</v>
      </c>
      <c r="G27" s="100">
        <v>2.163E-2</v>
      </c>
      <c r="H27" s="100"/>
      <c r="I27" s="16">
        <v>455000000</v>
      </c>
      <c r="J27" s="16">
        <v>0</v>
      </c>
      <c r="K27" s="16">
        <v>0</v>
      </c>
      <c r="L27" s="16">
        <f t="shared" si="1"/>
        <v>455000000</v>
      </c>
      <c r="M27" s="16">
        <v>9841650</v>
      </c>
      <c r="N27" s="16">
        <v>3500</v>
      </c>
      <c r="O27" s="16">
        <f t="shared" si="0"/>
        <v>0</v>
      </c>
      <c r="P27" s="18"/>
      <c r="Q27" s="16"/>
      <c r="R27" s="16"/>
      <c r="S27" s="16"/>
      <c r="T27" s="16"/>
      <c r="U27" s="16"/>
      <c r="V27" s="16"/>
      <c r="W27" s="16"/>
      <c r="X27" s="16"/>
      <c r="Y27" s="16">
        <v>455000000</v>
      </c>
      <c r="Z27" s="16"/>
      <c r="AA27" s="16"/>
      <c r="AB27" s="16"/>
      <c r="AC27" s="16"/>
      <c r="AI27" s="6">
        <f t="shared" si="2"/>
        <v>0</v>
      </c>
      <c r="AJ27" s="6"/>
    </row>
    <row r="28" spans="2:36" x14ac:dyDescent="0.25">
      <c r="B28" s="107"/>
      <c r="C28" s="15" t="s">
        <v>133</v>
      </c>
      <c r="D28" s="16">
        <v>230000000</v>
      </c>
      <c r="E28" s="21">
        <v>45103</v>
      </c>
      <c r="F28" s="21">
        <v>47043</v>
      </c>
      <c r="G28" s="100">
        <v>3.7229999999999999E-2</v>
      </c>
      <c r="H28" s="100"/>
      <c r="I28" s="16">
        <v>0</v>
      </c>
      <c r="J28" s="16">
        <v>0</v>
      </c>
      <c r="K28" s="16">
        <v>230000000</v>
      </c>
      <c r="L28" s="16">
        <v>230000000</v>
      </c>
      <c r="M28" s="16">
        <v>2648843.84</v>
      </c>
      <c r="N28" s="16">
        <v>615405.4</v>
      </c>
      <c r="O28" s="16">
        <f t="shared" si="0"/>
        <v>0</v>
      </c>
      <c r="P28" s="18"/>
      <c r="Q28" s="16"/>
      <c r="R28" s="16"/>
      <c r="S28" s="16"/>
      <c r="T28" s="16"/>
      <c r="U28" s="16">
        <v>230000000</v>
      </c>
      <c r="V28" s="16"/>
      <c r="W28" s="16"/>
      <c r="X28" s="16"/>
      <c r="Y28" s="16"/>
      <c r="Z28" s="16"/>
      <c r="AA28" s="16"/>
      <c r="AB28" s="16"/>
      <c r="AC28" s="16"/>
      <c r="AI28" s="6">
        <f t="shared" si="2"/>
        <v>0</v>
      </c>
      <c r="AJ28" s="6"/>
    </row>
    <row r="29" spans="2:36" x14ac:dyDescent="0.25">
      <c r="B29" s="107"/>
      <c r="C29" s="15" t="s">
        <v>26</v>
      </c>
      <c r="D29" s="16">
        <v>32000000</v>
      </c>
      <c r="E29" s="17">
        <v>45105</v>
      </c>
      <c r="F29" s="17">
        <v>48758</v>
      </c>
      <c r="G29" s="96" t="s">
        <v>36</v>
      </c>
      <c r="H29" s="20">
        <v>4.5999999999999999E-3</v>
      </c>
      <c r="I29" s="16">
        <v>0</v>
      </c>
      <c r="J29" s="16">
        <v>0</v>
      </c>
      <c r="K29" s="16">
        <v>32000000</v>
      </c>
      <c r="L29" s="16">
        <v>32000000</v>
      </c>
      <c r="M29" s="16">
        <v>0</v>
      </c>
      <c r="N29" s="16">
        <v>73600</v>
      </c>
      <c r="O29" s="16">
        <f t="shared" si="0"/>
        <v>0</v>
      </c>
      <c r="P29" s="18"/>
      <c r="Q29" s="16"/>
      <c r="R29" s="16"/>
      <c r="S29" s="16"/>
      <c r="T29" s="16"/>
      <c r="U29" s="16">
        <v>5000000</v>
      </c>
      <c r="V29" s="16"/>
      <c r="W29" s="16"/>
      <c r="X29" s="16">
        <v>10000000</v>
      </c>
      <c r="Y29" s="16"/>
      <c r="Z29" s="16">
        <v>17000000</v>
      </c>
      <c r="AA29" s="16"/>
      <c r="AB29" s="16"/>
      <c r="AC29" s="16"/>
      <c r="AI29" s="6">
        <f t="shared" si="2"/>
        <v>0</v>
      </c>
      <c r="AJ29" s="6"/>
    </row>
    <row r="30" spans="2:36" x14ac:dyDescent="0.25">
      <c r="B30" s="107"/>
      <c r="C30" s="15" t="s">
        <v>35</v>
      </c>
      <c r="D30" s="16">
        <v>11000000</v>
      </c>
      <c r="E30" s="17">
        <v>40057</v>
      </c>
      <c r="F30" s="17">
        <v>45536</v>
      </c>
      <c r="G30" s="19" t="s">
        <v>36</v>
      </c>
      <c r="H30" s="20">
        <v>2.2499999999999999E-2</v>
      </c>
      <c r="I30" s="16">
        <v>1750000</v>
      </c>
      <c r="J30" s="16">
        <v>1000000</v>
      </c>
      <c r="K30" s="16">
        <v>0</v>
      </c>
      <c r="L30" s="16">
        <f t="shared" si="1"/>
        <v>750000</v>
      </c>
      <c r="M30" s="16">
        <v>71145.7</v>
      </c>
      <c r="N30" s="16">
        <v>0</v>
      </c>
      <c r="O30" s="16">
        <f t="shared" si="0"/>
        <v>10250000</v>
      </c>
      <c r="P30" s="18" t="s">
        <v>37</v>
      </c>
      <c r="Q30" s="16">
        <v>750000</v>
      </c>
      <c r="R30" s="16"/>
      <c r="S30" s="16"/>
      <c r="T30" s="16"/>
      <c r="U30" s="16"/>
      <c r="V30" s="16"/>
      <c r="W30" s="16"/>
      <c r="X30" s="16"/>
      <c r="Y30" s="16"/>
      <c r="Z30" s="16"/>
      <c r="AI30" s="6">
        <f t="shared" si="2"/>
        <v>0</v>
      </c>
      <c r="AJ30" s="6"/>
    </row>
    <row r="31" spans="2:36" x14ac:dyDescent="0.25">
      <c r="B31" s="107"/>
      <c r="C31" s="15" t="s">
        <v>38</v>
      </c>
      <c r="D31" s="16">
        <v>2500000</v>
      </c>
      <c r="E31" s="17">
        <v>41716</v>
      </c>
      <c r="F31" s="17">
        <v>45369</v>
      </c>
      <c r="G31" s="19" t="s">
        <v>20</v>
      </c>
      <c r="H31" s="20">
        <v>0.02</v>
      </c>
      <c r="I31" s="16">
        <v>455160.21999999991</v>
      </c>
      <c r="J31" s="16">
        <v>303440.15999999997</v>
      </c>
      <c r="K31" s="16">
        <v>0</v>
      </c>
      <c r="L31" s="16">
        <f t="shared" si="1"/>
        <v>151720.05999999994</v>
      </c>
      <c r="M31" s="16">
        <v>14456.27</v>
      </c>
      <c r="N31" s="16">
        <v>3034.4</v>
      </c>
      <c r="O31" s="16">
        <f t="shared" si="0"/>
        <v>2348279.94</v>
      </c>
      <c r="P31" s="18" t="s">
        <v>37</v>
      </c>
      <c r="Q31" s="16">
        <v>151720.06</v>
      </c>
      <c r="R31" s="16"/>
      <c r="S31" s="16"/>
      <c r="T31" s="16"/>
      <c r="U31" s="16"/>
      <c r="V31" s="16"/>
      <c r="W31" s="16"/>
      <c r="X31" s="16"/>
      <c r="Y31" s="16"/>
      <c r="Z31" s="16"/>
      <c r="AI31" s="6">
        <f t="shared" si="2"/>
        <v>-5.8207660913467407E-11</v>
      </c>
      <c r="AJ31" s="6"/>
    </row>
    <row r="32" spans="2:36" x14ac:dyDescent="0.25">
      <c r="B32" s="107"/>
      <c r="C32" s="15" t="s">
        <v>39</v>
      </c>
      <c r="D32" s="16">
        <v>1713368</v>
      </c>
      <c r="E32" s="17">
        <v>41914</v>
      </c>
      <c r="F32" s="17">
        <v>47102</v>
      </c>
      <c r="G32" s="19" t="s">
        <v>36</v>
      </c>
      <c r="H32" s="20">
        <v>2.4539999999999999E-2</v>
      </c>
      <c r="I32" s="16">
        <v>797331.41999999981</v>
      </c>
      <c r="J32" s="16">
        <v>116172.63999999998</v>
      </c>
      <c r="K32" s="16">
        <v>0</v>
      </c>
      <c r="L32" s="16">
        <v>681158.7799999998</v>
      </c>
      <c r="M32" s="16">
        <v>39368.58</v>
      </c>
      <c r="N32" s="16">
        <v>0</v>
      </c>
      <c r="O32" s="16">
        <f t="shared" si="0"/>
        <v>1032209.2200000002</v>
      </c>
      <c r="P32" s="18" t="s">
        <v>37</v>
      </c>
      <c r="Q32" s="16">
        <f>29255.03+29746.69+30200.71+30672.38</f>
        <v>119874.81</v>
      </c>
      <c r="R32" s="16">
        <f>31151.41+31637.93+32132.05+32633.87</f>
        <v>127555.26</v>
      </c>
      <c r="S32" s="16">
        <f>33143.55+33661.17+34186.89+34720.82</f>
        <v>135712.43</v>
      </c>
      <c r="T32" s="16">
        <f>35263.07+35813.81+36373.14+36941.2</f>
        <v>144391.22</v>
      </c>
      <c r="U32" s="16">
        <f>37518.15+38104.11+38699.2+39303.6</f>
        <v>153625.06</v>
      </c>
      <c r="V32" s="16"/>
      <c r="W32" s="16"/>
      <c r="X32" s="16"/>
      <c r="Y32" s="16"/>
      <c r="Z32" s="16"/>
      <c r="AI32" s="6">
        <f t="shared" si="2"/>
        <v>-2.6193447411060333E-10</v>
      </c>
      <c r="AJ32" s="6"/>
    </row>
    <row r="33" spans="2:36" x14ac:dyDescent="0.25">
      <c r="B33" s="107"/>
      <c r="C33" s="15" t="s">
        <v>39</v>
      </c>
      <c r="D33" s="16">
        <v>608620.80000000005</v>
      </c>
      <c r="E33" s="17">
        <v>41915</v>
      </c>
      <c r="F33" s="17">
        <v>47102</v>
      </c>
      <c r="G33" s="19" t="s">
        <v>36</v>
      </c>
      <c r="H33" s="20">
        <v>2.4539999999999999E-2</v>
      </c>
      <c r="I33" s="16">
        <v>283227.24999999994</v>
      </c>
      <c r="J33" s="16">
        <v>41266.729999999996</v>
      </c>
      <c r="K33" s="16">
        <v>0</v>
      </c>
      <c r="L33" s="16">
        <v>241960.51999999996</v>
      </c>
      <c r="M33" s="16">
        <v>13984.47</v>
      </c>
      <c r="N33" s="16">
        <v>0</v>
      </c>
      <c r="O33" s="16">
        <f t="shared" si="0"/>
        <v>366660.28000000009</v>
      </c>
      <c r="P33" s="18" t="s">
        <v>37</v>
      </c>
      <c r="Q33" s="16">
        <f>10391.94+10566.59+10727.86+10895.41</f>
        <v>42581.8</v>
      </c>
      <c r="R33" s="16">
        <f>11065.57+11238.39+11413.91+11592.17</f>
        <v>45310.039999999994</v>
      </c>
      <c r="S33" s="16">
        <f>11773.22+11957.09+12143.83+12333.49</f>
        <v>48207.63</v>
      </c>
      <c r="T33" s="16">
        <f>12526.11+12721.74+12920.43+13122.22</f>
        <v>51290.5</v>
      </c>
      <c r="U33" s="16">
        <f>13327.16+13535.31+13746.69+13961.39</f>
        <v>54570.55</v>
      </c>
      <c r="V33" s="16"/>
      <c r="W33" s="16"/>
      <c r="X33" s="16"/>
      <c r="Y33" s="16"/>
      <c r="Z33" s="16"/>
      <c r="AI33" s="6">
        <f t="shared" si="2"/>
        <v>-1.4551915228366852E-11</v>
      </c>
      <c r="AJ33" s="6"/>
    </row>
    <row r="34" spans="2:36" x14ac:dyDescent="0.25">
      <c r="B34" s="107"/>
      <c r="C34" s="15" t="s">
        <v>40</v>
      </c>
      <c r="D34" s="16">
        <v>4000000</v>
      </c>
      <c r="E34" s="17">
        <v>42844</v>
      </c>
      <c r="F34" s="17">
        <v>45766</v>
      </c>
      <c r="G34" s="19" t="s">
        <v>36</v>
      </c>
      <c r="H34" s="20">
        <v>2.8000000000000001E-2</v>
      </c>
      <c r="I34" s="16">
        <v>1348859.6499999994</v>
      </c>
      <c r="J34" s="16">
        <v>517639.97</v>
      </c>
      <c r="K34" s="16">
        <v>0</v>
      </c>
      <c r="L34" s="16">
        <v>831219.67999999947</v>
      </c>
      <c r="M34" s="16">
        <v>62058.19</v>
      </c>
      <c r="N34" s="16">
        <v>0</v>
      </c>
      <c r="O34" s="16">
        <f t="shared" si="0"/>
        <v>3168780.3200000003</v>
      </c>
      <c r="P34" s="18" t="s">
        <v>37</v>
      </c>
      <c r="Q34" s="16">
        <f>132770.4+135040.71+137326.27+139650.52</f>
        <v>544787.9</v>
      </c>
      <c r="R34" s="16">
        <f>142014.1+144417.68</f>
        <v>286431.78000000003</v>
      </c>
      <c r="S34" s="16"/>
      <c r="T34" s="16"/>
      <c r="U34" s="16"/>
      <c r="V34" s="16"/>
      <c r="W34" s="16"/>
      <c r="X34" s="16"/>
      <c r="Y34" s="16"/>
      <c r="Z34" s="16"/>
      <c r="AI34" s="6">
        <f t="shared" si="2"/>
        <v>-5.8207660913467407E-10</v>
      </c>
      <c r="AJ34" s="6"/>
    </row>
    <row r="35" spans="2:36" x14ac:dyDescent="0.25">
      <c r="B35" s="107"/>
      <c r="C35" s="15" t="s">
        <v>41</v>
      </c>
      <c r="D35" s="16">
        <v>17600000</v>
      </c>
      <c r="E35" s="17">
        <v>43259</v>
      </c>
      <c r="F35" s="17">
        <v>45816</v>
      </c>
      <c r="G35" s="19" t="s">
        <v>20</v>
      </c>
      <c r="H35" s="20">
        <v>1.95E-2</v>
      </c>
      <c r="I35" s="16">
        <v>17600000</v>
      </c>
      <c r="J35" s="16">
        <v>2533333</v>
      </c>
      <c r="K35" s="16">
        <v>0</v>
      </c>
      <c r="L35" s="16">
        <f t="shared" si="1"/>
        <v>15066667</v>
      </c>
      <c r="M35" s="16">
        <v>554483.99</v>
      </c>
      <c r="N35" s="16">
        <v>36</v>
      </c>
      <c r="O35" s="16">
        <f t="shared" si="0"/>
        <v>2533333</v>
      </c>
      <c r="P35" s="18" t="s">
        <v>37</v>
      </c>
      <c r="Q35" s="16">
        <v>2533333</v>
      </c>
      <c r="R35" s="16">
        <v>12533334</v>
      </c>
      <c r="S35" s="16"/>
      <c r="T35" s="16"/>
      <c r="U35" s="16"/>
      <c r="V35" s="16"/>
      <c r="W35" s="16"/>
      <c r="X35" s="16"/>
      <c r="Y35" s="16"/>
      <c r="Z35" s="16"/>
      <c r="AI35" s="6">
        <f t="shared" si="2"/>
        <v>0</v>
      </c>
      <c r="AJ35" s="6"/>
    </row>
    <row r="36" spans="2:36" x14ac:dyDescent="0.25">
      <c r="B36" s="107"/>
      <c r="C36" s="15" t="s">
        <v>43</v>
      </c>
      <c r="D36" s="16">
        <v>5000000</v>
      </c>
      <c r="E36" s="17">
        <v>42495</v>
      </c>
      <c r="F36" s="17">
        <v>45143</v>
      </c>
      <c r="G36" s="19" t="s">
        <v>22</v>
      </c>
      <c r="H36" s="20">
        <v>2.5000000000000001E-2</v>
      </c>
      <c r="I36" s="16">
        <v>442850.71999999951</v>
      </c>
      <c r="J36" s="16">
        <v>442850.72</v>
      </c>
      <c r="K36" s="16">
        <v>0</v>
      </c>
      <c r="L36" s="16">
        <f t="shared" si="1"/>
        <v>-4.6566128730773926E-10</v>
      </c>
      <c r="M36" s="16">
        <v>5010.8599999999997</v>
      </c>
      <c r="N36" s="16">
        <v>10</v>
      </c>
      <c r="O36" s="16">
        <f t="shared" si="0"/>
        <v>5000000</v>
      </c>
      <c r="P36" s="18" t="s">
        <v>30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I36" s="6">
        <f t="shared" si="2"/>
        <v>-4.6566128730773926E-10</v>
      </c>
      <c r="AJ36" s="6"/>
    </row>
    <row r="37" spans="2:36" x14ac:dyDescent="0.25">
      <c r="B37" s="107"/>
      <c r="C37" s="15" t="s">
        <v>35</v>
      </c>
      <c r="D37" s="16">
        <v>65000000</v>
      </c>
      <c r="E37" s="17">
        <v>43279</v>
      </c>
      <c r="F37" s="17">
        <v>45097</v>
      </c>
      <c r="G37" s="19" t="s">
        <v>20</v>
      </c>
      <c r="H37" s="20">
        <v>1.7000000000000001E-2</v>
      </c>
      <c r="I37" s="16">
        <v>65000000</v>
      </c>
      <c r="J37" s="16">
        <v>65000000</v>
      </c>
      <c r="K37" s="16">
        <v>0</v>
      </c>
      <c r="L37" s="16">
        <f t="shared" si="1"/>
        <v>0</v>
      </c>
      <c r="M37" s="16">
        <v>1446250</v>
      </c>
      <c r="N37" s="16">
        <v>2500</v>
      </c>
      <c r="O37" s="16">
        <f t="shared" si="0"/>
        <v>65000000</v>
      </c>
      <c r="P37" s="18" t="s">
        <v>30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I37" s="6">
        <f t="shared" si="2"/>
        <v>0</v>
      </c>
      <c r="AJ37" s="6"/>
    </row>
    <row r="38" spans="2:36" x14ac:dyDescent="0.25">
      <c r="B38" s="107"/>
      <c r="C38" s="15" t="s">
        <v>41</v>
      </c>
      <c r="D38" s="16">
        <v>7000000</v>
      </c>
      <c r="E38" s="17">
        <v>43375</v>
      </c>
      <c r="F38" s="17">
        <v>45201</v>
      </c>
      <c r="G38" s="19" t="s">
        <v>36</v>
      </c>
      <c r="H38" s="20">
        <v>0.02</v>
      </c>
      <c r="I38" s="16">
        <v>4025000</v>
      </c>
      <c r="J38" s="16">
        <v>4025000</v>
      </c>
      <c r="K38" s="16">
        <v>0</v>
      </c>
      <c r="L38" s="16">
        <f t="shared" si="1"/>
        <v>0</v>
      </c>
      <c r="M38" s="16">
        <v>128285.47</v>
      </c>
      <c r="N38" s="16">
        <v>36</v>
      </c>
      <c r="O38" s="16">
        <f t="shared" ref="O38:O60" si="3">+D38-L38</f>
        <v>7000000</v>
      </c>
      <c r="P38" s="18" t="s">
        <v>30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I38" s="6">
        <f t="shared" si="2"/>
        <v>0</v>
      </c>
      <c r="AJ38" s="6"/>
    </row>
    <row r="39" spans="2:36" x14ac:dyDescent="0.25">
      <c r="B39" s="107"/>
      <c r="C39" s="15" t="s">
        <v>25</v>
      </c>
      <c r="D39" s="16">
        <v>50000000</v>
      </c>
      <c r="E39" s="17">
        <v>43433</v>
      </c>
      <c r="F39" s="17">
        <v>47070</v>
      </c>
      <c r="G39" s="19" t="s">
        <v>20</v>
      </c>
      <c r="H39" s="20">
        <v>9.4999999999999998E-3</v>
      </c>
      <c r="I39" s="22">
        <v>25000000</v>
      </c>
      <c r="J39" s="16">
        <v>0</v>
      </c>
      <c r="K39" s="16">
        <v>0</v>
      </c>
      <c r="L39" s="16">
        <v>25000000</v>
      </c>
      <c r="M39" s="16">
        <v>1092718.75</v>
      </c>
      <c r="N39" s="16">
        <v>125000</v>
      </c>
      <c r="O39" s="16">
        <f t="shared" si="3"/>
        <v>25000000</v>
      </c>
      <c r="P39" s="18" t="s">
        <v>128</v>
      </c>
      <c r="Q39" s="16"/>
      <c r="R39" s="16"/>
      <c r="S39" s="16"/>
      <c r="T39" s="16">
        <v>12500000</v>
      </c>
      <c r="U39" s="16">
        <v>12500000</v>
      </c>
      <c r="V39" s="16"/>
      <c r="W39" s="16"/>
      <c r="X39" s="16"/>
      <c r="Y39" s="16"/>
      <c r="Z39" s="16"/>
      <c r="AI39" s="6">
        <f t="shared" si="2"/>
        <v>0</v>
      </c>
      <c r="AJ39" s="6"/>
    </row>
    <row r="40" spans="2:36" x14ac:dyDescent="0.25">
      <c r="B40" s="107"/>
      <c r="C40" s="15" t="s">
        <v>44</v>
      </c>
      <c r="D40" s="16">
        <v>120000000</v>
      </c>
      <c r="E40" s="17">
        <v>43739</v>
      </c>
      <c r="F40" s="17">
        <v>46661</v>
      </c>
      <c r="G40" s="100">
        <v>4.9100000000000003E-3</v>
      </c>
      <c r="H40" s="100"/>
      <c r="I40" s="16">
        <v>120000000</v>
      </c>
      <c r="J40" s="16">
        <v>0</v>
      </c>
      <c r="K40" s="16">
        <v>0</v>
      </c>
      <c r="L40" s="16">
        <f t="shared" si="1"/>
        <v>120000000</v>
      </c>
      <c r="M40" s="16">
        <v>589200</v>
      </c>
      <c r="N40" s="16">
        <v>7500</v>
      </c>
      <c r="O40" s="16">
        <f t="shared" si="3"/>
        <v>0</v>
      </c>
      <c r="P40" s="18" t="s">
        <v>30</v>
      </c>
      <c r="Q40" s="16"/>
      <c r="R40" s="16"/>
      <c r="S40" s="16"/>
      <c r="T40" s="16">
        <v>120000000</v>
      </c>
      <c r="U40" s="16"/>
      <c r="V40" s="16"/>
      <c r="W40" s="16"/>
      <c r="X40" s="16"/>
      <c r="Y40" s="16"/>
      <c r="Z40" s="16"/>
      <c r="AI40" s="6">
        <f t="shared" si="2"/>
        <v>0</v>
      </c>
      <c r="AJ40" s="6"/>
    </row>
    <row r="41" spans="2:36" x14ac:dyDescent="0.25">
      <c r="B41" s="107"/>
      <c r="C41" s="15" t="s">
        <v>23</v>
      </c>
      <c r="D41" s="16">
        <v>25400000</v>
      </c>
      <c r="E41" s="17">
        <v>43754</v>
      </c>
      <c r="F41" s="17">
        <v>46311</v>
      </c>
      <c r="G41" s="100">
        <v>1.5259999999999999E-2</v>
      </c>
      <c r="H41" s="100"/>
      <c r="I41" s="16">
        <v>20320000</v>
      </c>
      <c r="J41" s="16">
        <v>2540000</v>
      </c>
      <c r="K41" s="16">
        <v>0</v>
      </c>
      <c r="L41" s="16">
        <f t="shared" si="1"/>
        <v>17780000</v>
      </c>
      <c r="M41" s="16">
        <v>191643</v>
      </c>
      <c r="N41" s="16">
        <v>0</v>
      </c>
      <c r="O41" s="16">
        <f t="shared" si="3"/>
        <v>7620000</v>
      </c>
      <c r="P41" s="18" t="s">
        <v>128</v>
      </c>
      <c r="Q41" s="16">
        <f>5080000+2540000</f>
        <v>7620000</v>
      </c>
      <c r="R41" s="16">
        <v>5080000</v>
      </c>
      <c r="S41" s="16">
        <v>5080000</v>
      </c>
      <c r="T41" s="16"/>
      <c r="U41" s="16"/>
      <c r="V41" s="16"/>
      <c r="W41" s="16"/>
      <c r="X41" s="16"/>
      <c r="Y41" s="16"/>
      <c r="Z41" s="16"/>
      <c r="AI41" s="6">
        <f t="shared" si="2"/>
        <v>0</v>
      </c>
      <c r="AJ41" s="6"/>
    </row>
    <row r="42" spans="2:36" x14ac:dyDescent="0.25">
      <c r="B42" s="107"/>
      <c r="C42" s="15" t="s">
        <v>35</v>
      </c>
      <c r="D42" s="16">
        <v>55000000</v>
      </c>
      <c r="E42" s="17">
        <v>43810</v>
      </c>
      <c r="F42" s="17">
        <v>46835</v>
      </c>
      <c r="G42" s="100">
        <v>8.5000000000000006E-3</v>
      </c>
      <c r="H42" s="100"/>
      <c r="I42" s="16">
        <v>55000000</v>
      </c>
      <c r="J42" s="16">
        <v>0</v>
      </c>
      <c r="K42" s="16">
        <v>0</v>
      </c>
      <c r="L42" s="16">
        <f t="shared" si="1"/>
        <v>55000000</v>
      </c>
      <c r="M42" s="16">
        <v>473993.05</v>
      </c>
      <c r="N42" s="16">
        <v>0</v>
      </c>
      <c r="O42" s="16">
        <f t="shared" si="3"/>
        <v>0</v>
      </c>
      <c r="P42" s="18" t="s">
        <v>30</v>
      </c>
      <c r="Q42" s="16"/>
      <c r="R42" s="16"/>
      <c r="S42" s="16"/>
      <c r="T42" s="16"/>
      <c r="U42" s="16">
        <v>55000000</v>
      </c>
      <c r="V42" s="16"/>
      <c r="W42" s="16"/>
      <c r="X42" s="16"/>
      <c r="Y42" s="16"/>
      <c r="Z42" s="16"/>
      <c r="AI42" s="6">
        <f t="shared" si="2"/>
        <v>0</v>
      </c>
      <c r="AJ42" s="6"/>
    </row>
    <row r="43" spans="2:36" x14ac:dyDescent="0.25">
      <c r="B43" s="107"/>
      <c r="C43" s="15" t="s">
        <v>42</v>
      </c>
      <c r="D43" s="16">
        <v>124656495.67</v>
      </c>
      <c r="E43" s="17">
        <v>44740</v>
      </c>
      <c r="F43" s="17">
        <v>49130</v>
      </c>
      <c r="G43" s="19" t="s">
        <v>22</v>
      </c>
      <c r="H43" s="20">
        <v>1.4999999999999999E-2</v>
      </c>
      <c r="I43" s="16">
        <v>124656495.639</v>
      </c>
      <c r="J43" s="16">
        <v>10388041.310000001</v>
      </c>
      <c r="K43" s="16">
        <v>0</v>
      </c>
      <c r="L43" s="16">
        <f t="shared" si="1"/>
        <v>114268454.329</v>
      </c>
      <c r="M43" s="16">
        <v>2289489.6800000002</v>
      </c>
      <c r="N43" s="16">
        <v>0</v>
      </c>
      <c r="O43" s="16">
        <f t="shared" si="3"/>
        <v>10388041.341000006</v>
      </c>
      <c r="P43" s="18" t="s">
        <v>87</v>
      </c>
      <c r="Q43" s="16">
        <v>10388041.310000001</v>
      </c>
      <c r="R43" s="16">
        <v>10388041.310000001</v>
      </c>
      <c r="S43" s="16">
        <v>10388041.310000001</v>
      </c>
      <c r="T43" s="16">
        <v>10388041.310000001</v>
      </c>
      <c r="U43" s="16">
        <v>10388041.310000001</v>
      </c>
      <c r="V43" s="16">
        <v>10388041.310000001</v>
      </c>
      <c r="W43" s="16">
        <v>10388041.310000001</v>
      </c>
      <c r="X43" s="16">
        <v>10388041.310000001</v>
      </c>
      <c r="Y43" s="16">
        <v>10388041.310000001</v>
      </c>
      <c r="Z43" s="16">
        <v>10388041.310000001</v>
      </c>
      <c r="AA43" s="16">
        <v>10388041.310000001</v>
      </c>
      <c r="AI43" s="6">
        <f t="shared" si="2"/>
        <v>-8.1000026315450668E-2</v>
      </c>
      <c r="AJ43" s="6"/>
    </row>
    <row r="44" spans="2:36" x14ac:dyDescent="0.25">
      <c r="B44" s="107"/>
      <c r="C44" s="15" t="s">
        <v>46</v>
      </c>
      <c r="D44" s="16">
        <v>2200000</v>
      </c>
      <c r="E44" s="17">
        <v>43979</v>
      </c>
      <c r="F44" s="17">
        <v>45806</v>
      </c>
      <c r="G44" s="19" t="s">
        <v>22</v>
      </c>
      <c r="H44" s="20">
        <v>1.35E-2</v>
      </c>
      <c r="I44" s="16">
        <v>1561433.39</v>
      </c>
      <c r="J44" s="16">
        <v>520477.79</v>
      </c>
      <c r="K44" s="16">
        <v>0</v>
      </c>
      <c r="L44" s="16">
        <f t="shared" si="1"/>
        <v>1040955.5999999999</v>
      </c>
      <c r="M44" s="16">
        <v>21577.93</v>
      </c>
      <c r="N44" s="16">
        <v>0</v>
      </c>
      <c r="O44" s="16">
        <f t="shared" si="3"/>
        <v>1159044.4000000001</v>
      </c>
      <c r="P44" s="18" t="s">
        <v>45</v>
      </c>
      <c r="Q44" s="16">
        <v>520477.79</v>
      </c>
      <c r="R44" s="16">
        <v>520477.81</v>
      </c>
      <c r="S44" s="16"/>
      <c r="T44" s="16"/>
      <c r="U44" s="16"/>
      <c r="V44" s="16"/>
      <c r="W44" s="16"/>
      <c r="X44" s="16"/>
      <c r="Y44" s="16"/>
      <c r="Z44" s="16"/>
      <c r="AI44" s="6">
        <f t="shared" si="2"/>
        <v>-1.1641532182693481E-10</v>
      </c>
      <c r="AJ44" s="6"/>
    </row>
    <row r="45" spans="2:36" x14ac:dyDescent="0.25">
      <c r="B45" s="107"/>
      <c r="C45" s="15" t="s">
        <v>23</v>
      </c>
      <c r="D45" s="16">
        <v>6941000</v>
      </c>
      <c r="E45" s="17">
        <v>42032</v>
      </c>
      <c r="F45" s="17">
        <v>46323</v>
      </c>
      <c r="G45" s="100">
        <v>2.75E-2</v>
      </c>
      <c r="H45" s="100"/>
      <c r="I45" s="16">
        <v>4843138</v>
      </c>
      <c r="J45" s="16">
        <v>0</v>
      </c>
      <c r="K45" s="16">
        <v>0</v>
      </c>
      <c r="L45" s="16">
        <f t="shared" si="1"/>
        <v>4843138</v>
      </c>
      <c r="M45" s="16">
        <v>82333.350000000006</v>
      </c>
      <c r="N45" s="16">
        <v>7264.71</v>
      </c>
      <c r="O45" s="16">
        <f t="shared" si="3"/>
        <v>2097862</v>
      </c>
      <c r="P45" s="18" t="s">
        <v>129</v>
      </c>
      <c r="Q45" s="16">
        <v>2421569</v>
      </c>
      <c r="R45" s="16">
        <v>1210784.5</v>
      </c>
      <c r="S45" s="16">
        <v>1210784.5</v>
      </c>
      <c r="T45" s="16"/>
      <c r="U45" s="16"/>
      <c r="V45" s="16"/>
      <c r="W45" s="16"/>
      <c r="X45" s="16"/>
      <c r="Y45" s="16"/>
      <c r="AI45" s="6">
        <f t="shared" si="2"/>
        <v>0</v>
      </c>
      <c r="AJ45" s="6"/>
    </row>
    <row r="46" spans="2:36" x14ac:dyDescent="0.25">
      <c r="B46" s="107"/>
      <c r="C46" s="15" t="s">
        <v>43</v>
      </c>
      <c r="D46" s="16">
        <v>4581434</v>
      </c>
      <c r="E46" s="17">
        <v>42916</v>
      </c>
      <c r="F46" s="17">
        <v>46842</v>
      </c>
      <c r="G46" s="19" t="s">
        <v>22</v>
      </c>
      <c r="H46" s="20">
        <v>0.02</v>
      </c>
      <c r="I46" s="16">
        <v>3612129.39</v>
      </c>
      <c r="J46" s="16">
        <v>577445.11</v>
      </c>
      <c r="K46" s="16">
        <v>0</v>
      </c>
      <c r="L46" s="16">
        <f t="shared" si="1"/>
        <v>3034684.2800000003</v>
      </c>
      <c r="M46" s="16">
        <v>60141.95</v>
      </c>
      <c r="N46" s="16">
        <v>10</v>
      </c>
      <c r="O46" s="16">
        <f t="shared" si="3"/>
        <v>1546749.7199999997</v>
      </c>
      <c r="P46" s="18" t="s">
        <v>45</v>
      </c>
      <c r="Q46" s="16">
        <v>543374.82999999996</v>
      </c>
      <c r="R46" s="16">
        <v>573445.19999999995</v>
      </c>
      <c r="S46" s="16">
        <v>605179.65</v>
      </c>
      <c r="T46" s="16">
        <v>638670.29</v>
      </c>
      <c r="U46" s="16">
        <v>674014.31</v>
      </c>
      <c r="V46" s="16"/>
      <c r="W46" s="16"/>
      <c r="X46" s="16"/>
      <c r="Y46" s="16"/>
      <c r="Z46" s="16"/>
      <c r="AI46" s="6">
        <f t="shared" si="2"/>
        <v>0</v>
      </c>
      <c r="AJ46" s="6"/>
    </row>
    <row r="47" spans="2:36" x14ac:dyDescent="0.25">
      <c r="B47" s="107"/>
      <c r="C47" s="15" t="s">
        <v>40</v>
      </c>
      <c r="D47" s="16">
        <v>1750000</v>
      </c>
      <c r="E47" s="17">
        <v>43069</v>
      </c>
      <c r="F47" s="17">
        <v>46356</v>
      </c>
      <c r="G47" s="19" t="s">
        <v>20</v>
      </c>
      <c r="H47" s="20">
        <v>1.7999999999999999E-2</v>
      </c>
      <c r="I47" s="16">
        <v>1604166.67</v>
      </c>
      <c r="J47" s="16">
        <v>0</v>
      </c>
      <c r="K47" s="16">
        <v>0</v>
      </c>
      <c r="L47" s="16">
        <f t="shared" si="1"/>
        <v>1604166.67</v>
      </c>
      <c r="M47" s="16">
        <v>79972.429999999993</v>
      </c>
      <c r="N47" s="16">
        <v>0</v>
      </c>
      <c r="O47" s="16">
        <f t="shared" si="3"/>
        <v>145833.33000000007</v>
      </c>
      <c r="P47" s="18" t="s">
        <v>45</v>
      </c>
      <c r="Q47" s="16"/>
      <c r="R47" s="16"/>
      <c r="S47" s="16">
        <v>1604166.67</v>
      </c>
      <c r="T47" s="16"/>
      <c r="U47" s="16"/>
      <c r="V47" s="16"/>
      <c r="W47" s="16"/>
      <c r="X47" s="16"/>
      <c r="Y47" s="16"/>
      <c r="Z47" s="16"/>
      <c r="AI47" s="6">
        <f t="shared" si="2"/>
        <v>0</v>
      </c>
      <c r="AJ47" s="6"/>
    </row>
    <row r="48" spans="2:36" x14ac:dyDescent="0.25">
      <c r="B48" s="107"/>
      <c r="C48" s="15" t="s">
        <v>29</v>
      </c>
      <c r="D48" s="16">
        <v>1869117</v>
      </c>
      <c r="E48" s="17">
        <v>43087</v>
      </c>
      <c r="F48" s="17">
        <v>45826</v>
      </c>
      <c r="G48" s="19" t="s">
        <v>22</v>
      </c>
      <c r="H48" s="20">
        <v>1.2500000000000001E-2</v>
      </c>
      <c r="I48" s="16">
        <v>1433056.29</v>
      </c>
      <c r="J48" s="16">
        <v>0</v>
      </c>
      <c r="K48" s="16">
        <v>0</v>
      </c>
      <c r="L48" s="16">
        <f t="shared" si="1"/>
        <v>1433056.29</v>
      </c>
      <c r="M48" s="16">
        <v>42103.75</v>
      </c>
      <c r="N48" s="16">
        <v>0</v>
      </c>
      <c r="O48" s="16">
        <f t="shared" si="3"/>
        <v>436060.70999999996</v>
      </c>
      <c r="P48" s="18" t="s">
        <v>45</v>
      </c>
      <c r="Q48" s="16"/>
      <c r="R48" s="16">
        <v>1433056.29</v>
      </c>
      <c r="S48" s="16"/>
      <c r="T48" s="16"/>
      <c r="U48" s="16"/>
      <c r="V48" s="16"/>
      <c r="W48" s="16"/>
      <c r="X48" s="16"/>
      <c r="Y48" s="16"/>
      <c r="Z48" s="16"/>
      <c r="AI48" s="6">
        <f t="shared" si="2"/>
        <v>0</v>
      </c>
      <c r="AJ48" s="6"/>
    </row>
    <row r="49" spans="2:36" x14ac:dyDescent="0.25">
      <c r="B49" s="107"/>
      <c r="C49" s="15" t="s">
        <v>26</v>
      </c>
      <c r="D49" s="16">
        <v>8000000</v>
      </c>
      <c r="E49" s="17">
        <v>44595</v>
      </c>
      <c r="F49" s="17">
        <v>48280</v>
      </c>
      <c r="G49" s="19" t="s">
        <v>22</v>
      </c>
      <c r="H49" s="20">
        <v>1.7500000000000002E-2</v>
      </c>
      <c r="I49" s="16">
        <v>8000000</v>
      </c>
      <c r="J49" s="16">
        <v>739002.75</v>
      </c>
      <c r="K49" s="16">
        <v>0</v>
      </c>
      <c r="L49" s="16">
        <f t="shared" si="1"/>
        <v>7260997.25</v>
      </c>
      <c r="M49" s="16">
        <v>140000</v>
      </c>
      <c r="N49" s="16">
        <v>20</v>
      </c>
      <c r="O49" s="16">
        <f t="shared" si="3"/>
        <v>739002.75</v>
      </c>
      <c r="P49" s="18" t="s">
        <v>88</v>
      </c>
      <c r="Q49" s="16">
        <v>650838.1</v>
      </c>
      <c r="R49" s="16">
        <v>682290.01</v>
      </c>
      <c r="S49" s="16">
        <v>719160.96</v>
      </c>
      <c r="T49" s="16">
        <v>758024.42</v>
      </c>
      <c r="U49" s="16">
        <v>798988.06</v>
      </c>
      <c r="V49" s="16">
        <v>842165.37</v>
      </c>
      <c r="W49" s="16">
        <v>887676</v>
      </c>
      <c r="X49" s="16">
        <v>935646.01</v>
      </c>
      <c r="Y49" s="16">
        <v>986208.32</v>
      </c>
      <c r="Z49" s="16"/>
      <c r="AI49" s="6">
        <f t="shared" si="2"/>
        <v>5.8207660913467407E-10</v>
      </c>
      <c r="AJ49" s="6"/>
    </row>
    <row r="50" spans="2:36" x14ac:dyDescent="0.25">
      <c r="B50" s="107"/>
      <c r="C50" s="15" t="s">
        <v>43</v>
      </c>
      <c r="D50" s="16">
        <v>900000</v>
      </c>
      <c r="E50" s="17">
        <v>44133</v>
      </c>
      <c r="F50" s="17">
        <v>47785</v>
      </c>
      <c r="G50" s="19" t="s">
        <v>22</v>
      </c>
      <c r="H50" s="20">
        <v>0.01</v>
      </c>
      <c r="I50" s="16">
        <v>828091.23</v>
      </c>
      <c r="J50" s="16">
        <v>99942.58</v>
      </c>
      <c r="K50" s="16">
        <v>0</v>
      </c>
      <c r="L50" s="16">
        <f t="shared" si="1"/>
        <v>728148.65</v>
      </c>
      <c r="M50" s="16">
        <v>6551.89</v>
      </c>
      <c r="N50" s="16">
        <v>10</v>
      </c>
      <c r="O50" s="16">
        <f t="shared" si="3"/>
        <v>171851.34999999998</v>
      </c>
      <c r="P50" s="18" t="s">
        <v>91</v>
      </c>
      <c r="Q50" s="16">
        <v>100942</v>
      </c>
      <c r="R50" s="16">
        <v>101951.42</v>
      </c>
      <c r="S50" s="16">
        <v>102970.94</v>
      </c>
      <c r="T50" s="16">
        <v>104000.65</v>
      </c>
      <c r="U50" s="16">
        <v>105040.65</v>
      </c>
      <c r="V50" s="16">
        <v>106091.06</v>
      </c>
      <c r="W50" s="16">
        <v>107151.93</v>
      </c>
      <c r="X50" s="16"/>
      <c r="Y50" s="16"/>
      <c r="Z50" s="16"/>
      <c r="AI50" s="6">
        <f t="shared" si="2"/>
        <v>2.9103830456733704E-11</v>
      </c>
      <c r="AJ50" s="6"/>
    </row>
    <row r="51" spans="2:36" x14ac:dyDescent="0.25">
      <c r="B51" s="107"/>
      <c r="C51" s="15" t="s">
        <v>43</v>
      </c>
      <c r="D51" s="16">
        <v>800000</v>
      </c>
      <c r="E51" s="17">
        <v>42180</v>
      </c>
      <c r="F51" s="17">
        <v>45833</v>
      </c>
      <c r="G51" s="19" t="s">
        <v>22</v>
      </c>
      <c r="H51" s="20">
        <v>0.02</v>
      </c>
      <c r="I51" s="16">
        <v>161124.54</v>
      </c>
      <c r="J51" s="16">
        <v>52498.39</v>
      </c>
      <c r="K51" s="16">
        <v>0</v>
      </c>
      <c r="L51" s="16">
        <f t="shared" si="1"/>
        <v>108626.15000000001</v>
      </c>
      <c r="M51" s="16">
        <v>3684.92</v>
      </c>
      <c r="N51" s="16">
        <v>10</v>
      </c>
      <c r="O51" s="16">
        <f t="shared" si="3"/>
        <v>691373.85</v>
      </c>
      <c r="P51" s="18" t="s">
        <v>91</v>
      </c>
      <c r="Q51" s="16">
        <v>53699.03</v>
      </c>
      <c r="R51" s="16">
        <v>54927.12</v>
      </c>
      <c r="S51" s="16"/>
      <c r="T51" s="16"/>
      <c r="U51" s="16"/>
      <c r="V51" s="16"/>
      <c r="W51" s="16"/>
      <c r="X51" s="16"/>
      <c r="Y51" s="16"/>
      <c r="Z51" s="16"/>
      <c r="AI51" s="6">
        <f t="shared" si="2"/>
        <v>7.2759576141834259E-12</v>
      </c>
      <c r="AJ51" s="6"/>
    </row>
    <row r="52" spans="2:36" x14ac:dyDescent="0.25">
      <c r="B52" s="107"/>
      <c r="C52" s="15" t="s">
        <v>29</v>
      </c>
      <c r="D52" s="16">
        <v>4030146.36</v>
      </c>
      <c r="E52" s="17">
        <v>44615</v>
      </c>
      <c r="F52" s="17">
        <v>47572</v>
      </c>
      <c r="G52" s="19" t="s">
        <v>22</v>
      </c>
      <c r="H52" s="20">
        <v>1.2500000000000001E-2</v>
      </c>
      <c r="I52" s="16">
        <v>3582352.32</v>
      </c>
      <c r="J52" s="16">
        <v>447794.04</v>
      </c>
      <c r="K52" s="16">
        <v>0</v>
      </c>
      <c r="L52" s="16">
        <f t="shared" si="1"/>
        <v>3134558.28</v>
      </c>
      <c r="M52" s="16">
        <v>58085.86</v>
      </c>
      <c r="N52" s="16">
        <v>2.0299999999999998</v>
      </c>
      <c r="O52" s="16">
        <f t="shared" si="3"/>
        <v>895588.08000000007</v>
      </c>
      <c r="P52" s="18" t="s">
        <v>119</v>
      </c>
      <c r="Q52" s="16">
        <v>447794.04</v>
      </c>
      <c r="R52" s="16">
        <v>447794.04</v>
      </c>
      <c r="S52" s="16">
        <v>447794.04</v>
      </c>
      <c r="T52" s="16">
        <v>447794.04</v>
      </c>
      <c r="U52" s="16">
        <v>447794.04</v>
      </c>
      <c r="V52" s="16">
        <v>447794.04</v>
      </c>
      <c r="W52" s="16">
        <v>447794.04</v>
      </c>
      <c r="X52" s="16"/>
      <c r="Y52" s="16"/>
      <c r="Z52" s="16"/>
      <c r="AI52" s="6">
        <f t="shared" si="2"/>
        <v>-3.4924596548080444E-10</v>
      </c>
      <c r="AJ52" s="6"/>
    </row>
    <row r="53" spans="2:36" x14ac:dyDescent="0.25">
      <c r="B53" s="107"/>
      <c r="C53" s="15" t="s">
        <v>65</v>
      </c>
      <c r="D53" s="16">
        <v>155000000</v>
      </c>
      <c r="E53" s="17">
        <v>44706</v>
      </c>
      <c r="F53" s="17">
        <v>47793</v>
      </c>
      <c r="G53" s="100">
        <v>0.03</v>
      </c>
      <c r="H53" s="100"/>
      <c r="I53" s="16">
        <v>155000000</v>
      </c>
      <c r="J53" s="16">
        <v>0</v>
      </c>
      <c r="K53" s="16">
        <v>0</v>
      </c>
      <c r="L53" s="16">
        <v>155000000</v>
      </c>
      <c r="M53" s="16">
        <v>4650000</v>
      </c>
      <c r="N53" s="16">
        <v>3605</v>
      </c>
      <c r="O53" s="16">
        <f t="shared" si="3"/>
        <v>0</v>
      </c>
      <c r="P53" s="18" t="s">
        <v>89</v>
      </c>
      <c r="Q53" s="16"/>
      <c r="R53" s="16"/>
      <c r="S53" s="16"/>
      <c r="T53" s="16"/>
      <c r="U53" s="16"/>
      <c r="V53" s="16"/>
      <c r="W53" s="16">
        <v>155000000</v>
      </c>
      <c r="X53" s="16"/>
      <c r="Y53" s="16"/>
      <c r="Z53" s="16"/>
      <c r="AI53" s="6">
        <f t="shared" si="2"/>
        <v>0</v>
      </c>
      <c r="AJ53" s="6"/>
    </row>
    <row r="54" spans="2:36" x14ac:dyDescent="0.25">
      <c r="B54" s="107"/>
      <c r="C54" s="15" t="s">
        <v>24</v>
      </c>
      <c r="D54" s="16">
        <v>37500000</v>
      </c>
      <c r="E54" s="17">
        <v>44127</v>
      </c>
      <c r="F54" s="17">
        <v>46984</v>
      </c>
      <c r="G54" s="100">
        <v>2.76E-2</v>
      </c>
      <c r="H54" s="100"/>
      <c r="I54" s="16">
        <v>18750000</v>
      </c>
      <c r="J54" s="16">
        <v>2916220.91</v>
      </c>
      <c r="K54" s="16">
        <v>0</v>
      </c>
      <c r="L54" s="16">
        <v>15833779.09</v>
      </c>
      <c r="M54" s="16">
        <v>517500</v>
      </c>
      <c r="N54" s="16">
        <v>0</v>
      </c>
      <c r="O54" s="16">
        <f t="shared" si="3"/>
        <v>21666220.91</v>
      </c>
      <c r="P54" s="18" t="s">
        <v>89</v>
      </c>
      <c r="Q54" s="16">
        <v>2996708.61</v>
      </c>
      <c r="R54" s="16">
        <v>3079417.76</v>
      </c>
      <c r="S54" s="16">
        <v>3164409.69</v>
      </c>
      <c r="T54" s="16">
        <v>3251747.4</v>
      </c>
      <c r="U54" s="16">
        <v>3341495.63</v>
      </c>
      <c r="V54" s="16"/>
      <c r="W54" s="16"/>
      <c r="X54" s="16"/>
      <c r="Y54" s="16"/>
      <c r="Z54" s="16"/>
      <c r="AI54" s="6">
        <f t="shared" si="2"/>
        <v>1.3969838619232178E-9</v>
      </c>
      <c r="AJ54" s="6"/>
    </row>
    <row r="55" spans="2:36" x14ac:dyDescent="0.25">
      <c r="B55" s="107"/>
      <c r="C55" s="15" t="s">
        <v>41</v>
      </c>
      <c r="D55" s="16">
        <v>5500000</v>
      </c>
      <c r="E55" s="17">
        <v>42907</v>
      </c>
      <c r="F55" s="17">
        <v>47290</v>
      </c>
      <c r="G55" s="19" t="s">
        <v>22</v>
      </c>
      <c r="H55" s="20">
        <v>2.375E-2</v>
      </c>
      <c r="I55" s="16">
        <v>3148550.87</v>
      </c>
      <c r="J55" s="16">
        <v>449792.98</v>
      </c>
      <c r="K55" s="16">
        <v>0</v>
      </c>
      <c r="L55" s="16">
        <v>2698757.89</v>
      </c>
      <c r="M55" s="16">
        <v>175650.48</v>
      </c>
      <c r="N55" s="16">
        <v>36</v>
      </c>
      <c r="O55" s="16">
        <f t="shared" si="3"/>
        <v>2801242.11</v>
      </c>
      <c r="P55" s="18" t="s">
        <v>90</v>
      </c>
      <c r="Q55" s="16">
        <v>449792.98</v>
      </c>
      <c r="R55" s="16">
        <v>449792.98</v>
      </c>
      <c r="S55" s="16">
        <v>449792.98</v>
      </c>
      <c r="T55" s="16">
        <v>449792.98</v>
      </c>
      <c r="U55" s="16">
        <v>449792.98</v>
      </c>
      <c r="V55" s="16">
        <v>449792.98</v>
      </c>
      <c r="W55" s="16"/>
      <c r="X55" s="16"/>
      <c r="Y55" s="16"/>
      <c r="Z55" s="16"/>
      <c r="AI55" s="6">
        <f t="shared" si="2"/>
        <v>1.0000000242143869E-2</v>
      </c>
      <c r="AJ55" s="6"/>
    </row>
    <row r="56" spans="2:36" x14ac:dyDescent="0.25">
      <c r="B56" s="107"/>
      <c r="C56" s="15" t="s">
        <v>35</v>
      </c>
      <c r="D56" s="16">
        <v>5500000</v>
      </c>
      <c r="E56" s="17">
        <v>43559</v>
      </c>
      <c r="F56" s="17">
        <v>47942</v>
      </c>
      <c r="G56" s="19" t="s">
        <v>20</v>
      </c>
      <c r="H56" s="20">
        <v>1.95E-2</v>
      </c>
      <c r="I56" s="16">
        <v>4408730.25</v>
      </c>
      <c r="J56" s="16">
        <v>518674.14</v>
      </c>
      <c r="K56" s="16">
        <v>0</v>
      </c>
      <c r="L56" s="16">
        <v>3890056.11</v>
      </c>
      <c r="M56" s="16">
        <v>181113.81</v>
      </c>
      <c r="N56" s="16">
        <v>0</v>
      </c>
      <c r="O56" s="16">
        <f t="shared" si="3"/>
        <v>1609943.8900000001</v>
      </c>
      <c r="P56" s="18" t="s">
        <v>90</v>
      </c>
      <c r="Q56" s="16">
        <f t="shared" ref="Q56:W56" si="4">259337.07*2</f>
        <v>518674.14</v>
      </c>
      <c r="R56" s="16">
        <f t="shared" si="4"/>
        <v>518674.14</v>
      </c>
      <c r="S56" s="16">
        <f t="shared" si="4"/>
        <v>518674.14</v>
      </c>
      <c r="T56" s="16">
        <f t="shared" si="4"/>
        <v>518674.14</v>
      </c>
      <c r="U56" s="16">
        <f t="shared" si="4"/>
        <v>518674.14</v>
      </c>
      <c r="V56" s="16">
        <f t="shared" si="4"/>
        <v>518674.14</v>
      </c>
      <c r="W56" s="16">
        <f t="shared" si="4"/>
        <v>518674.14</v>
      </c>
      <c r="X56" s="16">
        <v>259337.13</v>
      </c>
      <c r="Y56" s="16"/>
      <c r="Z56" s="16"/>
      <c r="AI56" s="6">
        <f t="shared" si="2"/>
        <v>-8.149072527885437E-10</v>
      </c>
      <c r="AJ56" s="6"/>
    </row>
    <row r="57" spans="2:36" x14ac:dyDescent="0.25">
      <c r="B57" s="107"/>
      <c r="C57" s="15" t="s">
        <v>23</v>
      </c>
      <c r="D57" s="16">
        <v>4400000</v>
      </c>
      <c r="E57" s="17">
        <v>43201</v>
      </c>
      <c r="F57" s="17">
        <v>46002</v>
      </c>
      <c r="G57" s="19" t="s">
        <v>22</v>
      </c>
      <c r="H57" s="20">
        <v>0.02</v>
      </c>
      <c r="I57" s="16">
        <v>2792307.78</v>
      </c>
      <c r="J57" s="16">
        <v>42307.69</v>
      </c>
      <c r="K57" s="16">
        <v>0</v>
      </c>
      <c r="L57" s="16">
        <v>2750000.09</v>
      </c>
      <c r="M57" s="16">
        <v>125984.58</v>
      </c>
      <c r="N57" s="16">
        <v>13750</v>
      </c>
      <c r="O57" s="16">
        <f t="shared" si="3"/>
        <v>1649999.9100000001</v>
      </c>
      <c r="P57" s="18" t="s">
        <v>130</v>
      </c>
      <c r="Q57" s="16">
        <v>1833333.39</v>
      </c>
      <c r="R57" s="16">
        <v>916666.69</v>
      </c>
      <c r="S57" s="16"/>
      <c r="T57" s="16"/>
      <c r="U57" s="16"/>
      <c r="V57" s="16"/>
      <c r="W57" s="16"/>
      <c r="X57" s="16"/>
      <c r="Y57" s="16"/>
      <c r="Z57" s="16"/>
      <c r="AI57" s="6">
        <f t="shared" si="2"/>
        <v>1.0000000009313226E-2</v>
      </c>
      <c r="AJ57" s="6"/>
    </row>
    <row r="58" spans="2:36" x14ac:dyDescent="0.25">
      <c r="B58" s="107"/>
      <c r="C58" s="15" t="s">
        <v>43</v>
      </c>
      <c r="D58" s="16">
        <v>1759629.92</v>
      </c>
      <c r="E58" s="17">
        <v>44950</v>
      </c>
      <c r="F58" s="17">
        <v>47136</v>
      </c>
      <c r="G58" s="19" t="s">
        <v>22</v>
      </c>
      <c r="H58" s="20">
        <v>0.02</v>
      </c>
      <c r="I58" s="16">
        <v>1802961.73</v>
      </c>
      <c r="J58" s="16">
        <v>43331.79</v>
      </c>
      <c r="K58" s="16">
        <v>0</v>
      </c>
      <c r="L58" s="16">
        <f>+D58</f>
        <v>1759629.92</v>
      </c>
      <c r="M58" s="16">
        <v>3402.38</v>
      </c>
      <c r="N58" s="16">
        <v>20</v>
      </c>
      <c r="O58" s="16">
        <f t="shared" si="3"/>
        <v>0</v>
      </c>
      <c r="P58" s="18" t="s">
        <v>145</v>
      </c>
      <c r="Q58" s="16">
        <v>258579.19</v>
      </c>
      <c r="R58" s="16">
        <v>267993.21999999997</v>
      </c>
      <c r="S58" s="16">
        <v>283212.55</v>
      </c>
      <c r="T58" s="16">
        <v>299296.19</v>
      </c>
      <c r="U58" s="16">
        <v>316293.23</v>
      </c>
      <c r="V58" s="16">
        <v>334255.53999999998</v>
      </c>
      <c r="W58" s="16"/>
      <c r="X58" s="16"/>
      <c r="Y58" s="16"/>
      <c r="Z58" s="16"/>
      <c r="AI58" s="6">
        <f t="shared" si="2"/>
        <v>5.8207660913467407E-11</v>
      </c>
      <c r="AJ58" s="6"/>
    </row>
    <row r="59" spans="2:36" x14ac:dyDescent="0.25">
      <c r="B59" s="107"/>
      <c r="C59" s="15" t="s">
        <v>29</v>
      </c>
      <c r="D59" s="16">
        <v>4600000</v>
      </c>
      <c r="E59" s="17">
        <v>44686</v>
      </c>
      <c r="F59" s="17">
        <v>50165</v>
      </c>
      <c r="G59" s="100">
        <v>2.5700000000000001E-2</v>
      </c>
      <c r="H59" s="100"/>
      <c r="I59" s="16">
        <v>1211650.6499999999</v>
      </c>
      <c r="J59" s="16">
        <v>77489.27999999997</v>
      </c>
      <c r="K59" s="16">
        <v>0</v>
      </c>
      <c r="L59" s="16">
        <v>1134161.3699999999</v>
      </c>
      <c r="M59" s="16">
        <v>28653.090000000004</v>
      </c>
      <c r="N59" s="16">
        <v>142.26999999999998</v>
      </c>
      <c r="O59" s="16">
        <f t="shared" si="3"/>
        <v>3465838.63</v>
      </c>
      <c r="P59" s="18" t="s">
        <v>122</v>
      </c>
      <c r="Q59" s="16">
        <f>7044.48*12</f>
        <v>84533.759999999995</v>
      </c>
      <c r="R59" s="16">
        <f t="shared" ref="R59:AC59" si="5">7044.48*12</f>
        <v>84533.759999999995</v>
      </c>
      <c r="S59" s="16">
        <f t="shared" si="5"/>
        <v>84533.759999999995</v>
      </c>
      <c r="T59" s="16">
        <f t="shared" si="5"/>
        <v>84533.759999999995</v>
      </c>
      <c r="U59" s="16">
        <f t="shared" si="5"/>
        <v>84533.759999999995</v>
      </c>
      <c r="V59" s="16">
        <f t="shared" si="5"/>
        <v>84533.759999999995</v>
      </c>
      <c r="W59" s="16">
        <f t="shared" si="5"/>
        <v>84533.759999999995</v>
      </c>
      <c r="X59" s="16">
        <f t="shared" si="5"/>
        <v>84533.759999999995</v>
      </c>
      <c r="Y59" s="16">
        <f t="shared" si="5"/>
        <v>84533.759999999995</v>
      </c>
      <c r="Z59" s="16">
        <f t="shared" si="5"/>
        <v>84533.759999999995</v>
      </c>
      <c r="AA59" s="16">
        <f t="shared" si="5"/>
        <v>84533.759999999995</v>
      </c>
      <c r="AB59" s="16">
        <f t="shared" si="5"/>
        <v>84533.759999999995</v>
      </c>
      <c r="AC59" s="16">
        <f t="shared" si="5"/>
        <v>84533.759999999995</v>
      </c>
      <c r="AD59" s="16">
        <f>7044.48*5</f>
        <v>35222.399999999994</v>
      </c>
      <c r="AE59" s="16"/>
      <c r="AF59" s="16"/>
      <c r="AI59" s="6">
        <f t="shared" si="2"/>
        <v>8.9999999792780727E-2</v>
      </c>
      <c r="AJ59" s="6"/>
    </row>
    <row r="60" spans="2:36" x14ac:dyDescent="0.25">
      <c r="B60" s="108"/>
      <c r="C60" s="15" t="s">
        <v>131</v>
      </c>
      <c r="D60" s="16"/>
      <c r="E60" s="17"/>
      <c r="F60" s="17"/>
      <c r="G60" s="100"/>
      <c r="H60" s="100"/>
      <c r="I60" s="16">
        <v>0</v>
      </c>
      <c r="J60" s="16">
        <v>20.78</v>
      </c>
      <c r="K60" s="16">
        <v>0</v>
      </c>
      <c r="L60" s="16">
        <v>0</v>
      </c>
      <c r="M60" s="16">
        <v>1375.63</v>
      </c>
      <c r="N60" s="16">
        <v>87550.87</v>
      </c>
      <c r="O60" s="16">
        <f t="shared" si="3"/>
        <v>0</v>
      </c>
      <c r="P60" s="18" t="s">
        <v>146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I60" s="6">
        <f t="shared" si="2"/>
        <v>0</v>
      </c>
      <c r="AJ60" s="6"/>
    </row>
    <row r="61" spans="2:36" x14ac:dyDescent="0.25">
      <c r="B61" s="23"/>
      <c r="C61" s="24" t="s">
        <v>47</v>
      </c>
      <c r="D61" s="25">
        <f>SUM(D6:D60)</f>
        <v>3523478685.1700006</v>
      </c>
      <c r="E61" s="25"/>
      <c r="F61" s="25"/>
      <c r="G61" s="25"/>
      <c r="H61" s="25"/>
      <c r="I61" s="25">
        <f t="shared" ref="I61:AD61" si="6">SUM(I6:I60)</f>
        <v>2806110201.2989998</v>
      </c>
      <c r="J61" s="25">
        <f t="shared" si="6"/>
        <v>208553221.32999998</v>
      </c>
      <c r="K61" s="25">
        <f t="shared" si="6"/>
        <v>262000000</v>
      </c>
      <c r="L61" s="25">
        <f t="shared" si="6"/>
        <v>2859557000.729001</v>
      </c>
      <c r="M61" s="25">
        <f t="shared" si="6"/>
        <v>51208357.828206725</v>
      </c>
      <c r="N61" s="25">
        <f t="shared" si="6"/>
        <v>1171031.96</v>
      </c>
      <c r="O61" s="25">
        <f t="shared" si="6"/>
        <v>663921684.4410001</v>
      </c>
      <c r="P61" s="25"/>
      <c r="Q61" s="25">
        <f t="shared" si="6"/>
        <v>109025467.63000003</v>
      </c>
      <c r="R61" s="25">
        <f t="shared" si="6"/>
        <v>96213957.89000003</v>
      </c>
      <c r="S61" s="25">
        <f t="shared" si="6"/>
        <v>324327453.51999998</v>
      </c>
      <c r="T61" s="25">
        <f t="shared" si="6"/>
        <v>373726256.90000004</v>
      </c>
      <c r="U61" s="25">
        <f t="shared" si="6"/>
        <v>390882863.72000003</v>
      </c>
      <c r="V61" s="25">
        <f t="shared" si="6"/>
        <v>236671348.19999996</v>
      </c>
      <c r="W61" s="25">
        <f t="shared" si="6"/>
        <v>367433871.17999995</v>
      </c>
      <c r="X61" s="25">
        <f t="shared" si="6"/>
        <v>21667558.210000005</v>
      </c>
      <c r="Y61" s="25">
        <f t="shared" si="6"/>
        <v>466458783.38999999</v>
      </c>
      <c r="Z61" s="25">
        <f t="shared" si="6"/>
        <v>27472575.070000004</v>
      </c>
      <c r="AA61" s="25">
        <f t="shared" si="6"/>
        <v>10472575.07</v>
      </c>
      <c r="AB61" s="25">
        <f t="shared" si="6"/>
        <v>84533.759999999995</v>
      </c>
      <c r="AC61" s="25">
        <f t="shared" si="6"/>
        <v>435084533.75999999</v>
      </c>
      <c r="AD61" s="25">
        <f t="shared" si="6"/>
        <v>35222.399999999994</v>
      </c>
      <c r="AE61" s="25"/>
      <c r="AF61" s="25"/>
      <c r="AG61" s="25"/>
      <c r="AH61" s="25"/>
      <c r="AI61" s="6">
        <f t="shared" si="2"/>
        <v>2.9000973707297817E-2</v>
      </c>
      <c r="AJ61" s="6"/>
    </row>
    <row r="62" spans="2:36" x14ac:dyDescent="0.25">
      <c r="B62" s="104" t="s">
        <v>48</v>
      </c>
      <c r="C62" s="27" t="s">
        <v>42</v>
      </c>
      <c r="D62" s="28">
        <v>5035487</v>
      </c>
      <c r="E62" s="29">
        <v>43972</v>
      </c>
      <c r="F62" s="17">
        <v>49449</v>
      </c>
      <c r="G62" s="100">
        <v>8.3999999999999995E-3</v>
      </c>
      <c r="H62" s="100"/>
      <c r="I62" s="16">
        <v>4061228.87</v>
      </c>
      <c r="J62" s="28">
        <f>161192.03+161869.04</f>
        <v>323061.07</v>
      </c>
      <c r="K62" s="28">
        <v>0</v>
      </c>
      <c r="L62" s="16">
        <v>3738167.6</v>
      </c>
      <c r="M62" s="28">
        <f>17057.16+16380.15</f>
        <v>33437.31</v>
      </c>
      <c r="N62" s="28">
        <f>9.84+9.84</f>
        <v>19.68</v>
      </c>
      <c r="O62" s="16">
        <f>+D62-L62</f>
        <v>1297319.3999999999</v>
      </c>
      <c r="P62" s="30"/>
      <c r="Q62" s="28">
        <v>325780.47999999998</v>
      </c>
      <c r="R62" s="28">
        <v>328522.78000000003</v>
      </c>
      <c r="S62" s="28">
        <v>331288.17</v>
      </c>
      <c r="T62" s="28">
        <v>334076.82999999996</v>
      </c>
      <c r="U62" s="28">
        <v>336888.97</v>
      </c>
      <c r="V62" s="28">
        <v>339724.78</v>
      </c>
      <c r="W62" s="28">
        <v>342584.45999999996</v>
      </c>
      <c r="X62" s="28">
        <v>345468.20999999996</v>
      </c>
      <c r="Y62" s="28">
        <v>348376.24</v>
      </c>
      <c r="Z62" s="28">
        <v>351308.74</v>
      </c>
      <c r="AA62" s="28">
        <v>354147.14</v>
      </c>
      <c r="AB62" s="31">
        <v>1</v>
      </c>
      <c r="AC62" s="31"/>
      <c r="AD62" s="31"/>
      <c r="AE62" s="31"/>
      <c r="AF62" s="31"/>
      <c r="AG62" s="31"/>
      <c r="AH62" s="31"/>
      <c r="AI62" s="6">
        <f t="shared" si="2"/>
        <v>-0.20000000006984919</v>
      </c>
      <c r="AJ62" s="6"/>
    </row>
    <row r="63" spans="2:36" x14ac:dyDescent="0.25">
      <c r="B63" s="105"/>
      <c r="C63" s="15" t="s">
        <v>24</v>
      </c>
      <c r="D63" s="16">
        <v>1411669.62</v>
      </c>
      <c r="E63" s="17">
        <v>44757</v>
      </c>
      <c r="F63" s="17">
        <v>50236</v>
      </c>
      <c r="G63" s="100">
        <v>2.7699999999999999E-2</v>
      </c>
      <c r="H63" s="100"/>
      <c r="I63" s="16">
        <v>1355010.1</v>
      </c>
      <c r="J63" s="16">
        <f>37892.63+38417.44</f>
        <v>76310.070000000007</v>
      </c>
      <c r="K63" s="16">
        <v>0</v>
      </c>
      <c r="L63" s="16">
        <v>1278700.03</v>
      </c>
      <c r="M63" s="16">
        <f>18766.69+18242.08</f>
        <v>37008.770000000004</v>
      </c>
      <c r="N63" s="16">
        <v>2784</v>
      </c>
      <c r="O63" s="16">
        <f>+D63-L63</f>
        <v>132969.59000000008</v>
      </c>
      <c r="P63" s="18"/>
      <c r="Q63" s="16">
        <v>78438.5</v>
      </c>
      <c r="R63" s="16">
        <v>80626.3</v>
      </c>
      <c r="S63" s="16">
        <v>82875.11</v>
      </c>
      <c r="T63" s="16">
        <v>85186.64</v>
      </c>
      <c r="U63" s="16">
        <v>87562.66</v>
      </c>
      <c r="V63" s="16">
        <v>90004.94</v>
      </c>
      <c r="W63" s="16">
        <v>92515.34</v>
      </c>
      <c r="X63" s="16">
        <v>95095.76999999999</v>
      </c>
      <c r="Y63" s="16">
        <v>97748.15</v>
      </c>
      <c r="Z63" s="16">
        <v>100474.53</v>
      </c>
      <c r="AA63" s="16">
        <v>103276.95</v>
      </c>
      <c r="AB63" s="6">
        <v>106157.53</v>
      </c>
      <c r="AC63" s="6">
        <v>109118.45</v>
      </c>
      <c r="AD63" s="6">
        <v>69619.16</v>
      </c>
      <c r="AE63" s="6"/>
      <c r="AF63" s="6"/>
      <c r="AG63" s="6"/>
      <c r="AH63" s="6"/>
      <c r="AI63" s="6">
        <f t="shared" si="2"/>
        <v>-1.6007106751203537E-10</v>
      </c>
      <c r="AJ63" s="6"/>
    </row>
    <row r="64" spans="2:36" x14ac:dyDescent="0.25">
      <c r="B64" s="23"/>
      <c r="C64" s="24" t="s">
        <v>47</v>
      </c>
      <c r="D64" s="25">
        <f>SUM(D62:D63)</f>
        <v>6447156.6200000001</v>
      </c>
      <c r="E64" s="23"/>
      <c r="F64" s="23"/>
      <c r="G64" s="24"/>
      <c r="H64" s="25"/>
      <c r="I64" s="25">
        <f t="shared" ref="I64:AD64" si="7">SUM(I62:I63)</f>
        <v>5416238.9700000007</v>
      </c>
      <c r="J64" s="25">
        <f t="shared" si="7"/>
        <v>399371.14</v>
      </c>
      <c r="K64" s="25">
        <f t="shared" si="7"/>
        <v>0</v>
      </c>
      <c r="L64" s="25">
        <f t="shared" si="7"/>
        <v>5016867.63</v>
      </c>
      <c r="M64" s="25">
        <f t="shared" si="7"/>
        <v>70446.080000000002</v>
      </c>
      <c r="N64" s="25">
        <f t="shared" si="7"/>
        <v>2803.68</v>
      </c>
      <c r="O64" s="25">
        <f t="shared" si="7"/>
        <v>1430288.99</v>
      </c>
      <c r="P64" s="25"/>
      <c r="Q64" s="25">
        <f t="shared" si="7"/>
        <v>404218.98</v>
      </c>
      <c r="R64" s="25">
        <f t="shared" si="7"/>
        <v>409149.08</v>
      </c>
      <c r="S64" s="25">
        <f t="shared" si="7"/>
        <v>414163.27999999997</v>
      </c>
      <c r="T64" s="25">
        <f t="shared" si="7"/>
        <v>419263.47</v>
      </c>
      <c r="U64" s="25">
        <f t="shared" si="7"/>
        <v>424451.63</v>
      </c>
      <c r="V64" s="25">
        <f t="shared" si="7"/>
        <v>429729.72000000003</v>
      </c>
      <c r="W64" s="25">
        <f t="shared" si="7"/>
        <v>435099.79999999993</v>
      </c>
      <c r="X64" s="25">
        <f t="shared" si="7"/>
        <v>440563.98</v>
      </c>
      <c r="Y64" s="25">
        <f t="shared" si="7"/>
        <v>446124.39</v>
      </c>
      <c r="Z64" s="25">
        <f t="shared" si="7"/>
        <v>451783.27</v>
      </c>
      <c r="AA64" s="25">
        <f t="shared" si="7"/>
        <v>457424.09</v>
      </c>
      <c r="AB64" s="25">
        <f t="shared" si="7"/>
        <v>106158.53</v>
      </c>
      <c r="AC64" s="25">
        <f t="shared" si="7"/>
        <v>109118.45</v>
      </c>
      <c r="AD64" s="25">
        <f t="shared" si="7"/>
        <v>69619.16</v>
      </c>
      <c r="AE64" s="25"/>
      <c r="AF64" s="25"/>
      <c r="AG64" s="25"/>
      <c r="AH64" s="25"/>
      <c r="AI64" s="6">
        <f t="shared" si="2"/>
        <v>-0.19999999976425897</v>
      </c>
      <c r="AJ64" s="6"/>
    </row>
    <row r="65" spans="2:36" x14ac:dyDescent="0.25">
      <c r="B65" s="26" t="s">
        <v>49</v>
      </c>
      <c r="C65" s="15" t="s">
        <v>93</v>
      </c>
      <c r="D65" s="16">
        <v>500000</v>
      </c>
      <c r="E65" s="17">
        <v>44113</v>
      </c>
      <c r="F65" s="17">
        <v>46304</v>
      </c>
      <c r="G65" s="32" t="s">
        <v>92</v>
      </c>
      <c r="H65" s="32">
        <v>6.4999999999999997E-3</v>
      </c>
      <c r="I65" s="16">
        <v>500000</v>
      </c>
      <c r="J65" s="16">
        <v>122222.21</v>
      </c>
      <c r="K65" s="16">
        <v>0</v>
      </c>
      <c r="L65" s="16">
        <f>I65-J65+K65</f>
        <v>377777.79</v>
      </c>
      <c r="M65" s="16">
        <v>15389.85</v>
      </c>
      <c r="N65" s="16">
        <v>0</v>
      </c>
      <c r="O65" s="16">
        <f>+D65-L65</f>
        <v>122222.21000000002</v>
      </c>
      <c r="P65" s="18"/>
      <c r="Q65" s="16">
        <v>133333.32</v>
      </c>
      <c r="R65" s="16">
        <v>133333.32</v>
      </c>
      <c r="S65" s="16">
        <v>111111.15000000001</v>
      </c>
      <c r="T65" s="16"/>
      <c r="U65" s="16"/>
      <c r="V65" s="16"/>
      <c r="W65" s="16"/>
      <c r="X65" s="16"/>
      <c r="Y65" s="16"/>
      <c r="Z65" s="16"/>
      <c r="AA65" s="16"/>
      <c r="AB65" s="6"/>
      <c r="AC65" s="6"/>
      <c r="AD65" s="6"/>
      <c r="AE65" s="6"/>
      <c r="AF65" s="6"/>
      <c r="AG65" s="6"/>
      <c r="AH65" s="6"/>
      <c r="AI65" s="6">
        <f t="shared" si="2"/>
        <v>-4.3655745685100555E-11</v>
      </c>
      <c r="AJ65" s="7"/>
    </row>
    <row r="66" spans="2:36" x14ac:dyDescent="0.25">
      <c r="B66" s="23"/>
      <c r="C66" s="33" t="s">
        <v>47</v>
      </c>
      <c r="D66" s="25">
        <f>SUM(D65)</f>
        <v>500000</v>
      </c>
      <c r="E66" s="23"/>
      <c r="F66" s="23"/>
      <c r="G66" s="24"/>
      <c r="H66" s="25"/>
      <c r="I66" s="25">
        <f t="shared" ref="I66:O66" si="8">SUM(I65)</f>
        <v>500000</v>
      </c>
      <c r="J66" s="25">
        <f t="shared" si="8"/>
        <v>122222.21</v>
      </c>
      <c r="K66" s="25">
        <f t="shared" si="8"/>
        <v>0</v>
      </c>
      <c r="L66" s="25">
        <f t="shared" si="8"/>
        <v>377777.79</v>
      </c>
      <c r="M66" s="25">
        <f t="shared" si="8"/>
        <v>15389.85</v>
      </c>
      <c r="N66" s="25">
        <f t="shared" si="8"/>
        <v>0</v>
      </c>
      <c r="O66" s="25">
        <f t="shared" si="8"/>
        <v>122222.21000000002</v>
      </c>
      <c r="P66" s="25"/>
      <c r="Q66" s="25">
        <f t="shared" ref="Q66:S66" si="9">SUM(Q65)</f>
        <v>133333.32</v>
      </c>
      <c r="R66" s="25">
        <f t="shared" si="9"/>
        <v>133333.32</v>
      </c>
      <c r="S66" s="25">
        <f t="shared" si="9"/>
        <v>111111.15000000001</v>
      </c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6">
        <f t="shared" si="2"/>
        <v>-4.3655745685100555E-11</v>
      </c>
      <c r="AJ66" s="7"/>
    </row>
    <row r="67" spans="2:36" x14ac:dyDescent="0.25">
      <c r="B67" s="34"/>
      <c r="C67" s="27" t="s">
        <v>23</v>
      </c>
      <c r="D67" s="16">
        <v>752672.34</v>
      </c>
      <c r="E67" s="17">
        <v>40142</v>
      </c>
      <c r="F67" s="17">
        <v>46716</v>
      </c>
      <c r="G67" s="19" t="s">
        <v>94</v>
      </c>
      <c r="H67" s="20">
        <v>3.5000000000000003E-2</v>
      </c>
      <c r="I67" s="16">
        <v>419346.03</v>
      </c>
      <c r="J67" s="16">
        <v>93188</v>
      </c>
      <c r="K67" s="16">
        <v>0</v>
      </c>
      <c r="L67" s="16">
        <f t="shared" ref="L67:L78" si="10">I67-J67+K67</f>
        <v>326158.03000000003</v>
      </c>
      <c r="M67" s="16">
        <v>0</v>
      </c>
      <c r="N67" s="16">
        <v>0</v>
      </c>
      <c r="O67" s="16">
        <f t="shared" ref="O67:O78" si="11">+D67-L67</f>
        <v>426514.30999999994</v>
      </c>
      <c r="P67" s="18"/>
      <c r="Q67" s="16">
        <v>93188</v>
      </c>
      <c r="R67" s="16">
        <v>93188</v>
      </c>
      <c r="S67" s="16">
        <v>93188</v>
      </c>
      <c r="T67" s="16">
        <v>46594.03</v>
      </c>
      <c r="U67" s="16"/>
      <c r="V67" s="16"/>
      <c r="W67" s="16"/>
      <c r="X67" s="16"/>
      <c r="Y67" s="16"/>
      <c r="Z67" s="16"/>
      <c r="AI67" s="6">
        <f t="shared" si="2"/>
        <v>2.9103830456733704E-11</v>
      </c>
      <c r="AJ67" s="7"/>
    </row>
    <row r="68" spans="2:36" x14ac:dyDescent="0.25">
      <c r="B68" s="34"/>
      <c r="C68" s="15" t="s">
        <v>23</v>
      </c>
      <c r="D68" s="16">
        <v>998657.94</v>
      </c>
      <c r="E68" s="17">
        <v>40142</v>
      </c>
      <c r="F68" s="17">
        <v>46716</v>
      </c>
      <c r="G68" s="19" t="s">
        <v>94</v>
      </c>
      <c r="H68" s="20">
        <v>3.5000000000000003E-2</v>
      </c>
      <c r="I68" s="16">
        <v>556395.15</v>
      </c>
      <c r="J68" s="16">
        <v>123643.36</v>
      </c>
      <c r="K68" s="16">
        <v>0</v>
      </c>
      <c r="L68" s="16">
        <f t="shared" si="10"/>
        <v>432751.79000000004</v>
      </c>
      <c r="M68" s="16">
        <v>0</v>
      </c>
      <c r="N68" s="16">
        <v>0</v>
      </c>
      <c r="O68" s="16">
        <f t="shared" si="11"/>
        <v>565906.14999999991</v>
      </c>
      <c r="P68" s="18"/>
      <c r="Q68" s="16">
        <v>123643.36</v>
      </c>
      <c r="R68" s="16">
        <v>123643.36</v>
      </c>
      <c r="S68" s="16">
        <v>123643.36</v>
      </c>
      <c r="T68" s="16">
        <v>61821.71</v>
      </c>
      <c r="U68" s="16"/>
      <c r="V68" s="16"/>
      <c r="W68" s="16"/>
      <c r="X68" s="16"/>
      <c r="Y68" s="16"/>
      <c r="Z68" s="16"/>
      <c r="AI68" s="6">
        <f t="shared" si="2"/>
        <v>6.5483618527650833E-11</v>
      </c>
      <c r="AJ68" s="7"/>
    </row>
    <row r="69" spans="2:36" x14ac:dyDescent="0.25">
      <c r="B69" s="34"/>
      <c r="C69" s="15" t="s">
        <v>23</v>
      </c>
      <c r="D69" s="16">
        <v>700000</v>
      </c>
      <c r="E69" s="17">
        <v>43453</v>
      </c>
      <c r="F69" s="17">
        <v>45554</v>
      </c>
      <c r="G69" s="19" t="s">
        <v>22</v>
      </c>
      <c r="H69" s="20">
        <v>1.7000000000000001E-2</v>
      </c>
      <c r="I69" s="16">
        <v>264822.06</v>
      </c>
      <c r="J69" s="16">
        <v>148767.29999999999</v>
      </c>
      <c r="K69" s="16">
        <v>0</v>
      </c>
      <c r="L69" s="16">
        <f t="shared" si="10"/>
        <v>116054.76000000001</v>
      </c>
      <c r="M69" s="16">
        <v>9868.33</v>
      </c>
      <c r="N69" s="16">
        <v>1560</v>
      </c>
      <c r="O69" s="16">
        <f t="shared" si="11"/>
        <v>583945.24</v>
      </c>
      <c r="P69" s="18" t="s">
        <v>52</v>
      </c>
      <c r="Q69" s="16">
        <v>116055</v>
      </c>
      <c r="R69" s="16"/>
      <c r="S69" s="16"/>
      <c r="T69" s="16"/>
      <c r="U69" s="16"/>
      <c r="V69" s="16"/>
      <c r="W69" s="16"/>
      <c r="X69" s="16"/>
      <c r="Y69" s="16"/>
      <c r="Z69" s="16"/>
      <c r="AI69" s="6">
        <f t="shared" si="2"/>
        <v>-0.23999999999068677</v>
      </c>
      <c r="AJ69" s="7"/>
    </row>
    <row r="70" spans="2:36" x14ac:dyDescent="0.25">
      <c r="B70" s="34"/>
      <c r="C70" s="15" t="s">
        <v>29</v>
      </c>
      <c r="D70" s="16">
        <v>6660000</v>
      </c>
      <c r="E70" s="17">
        <v>43488</v>
      </c>
      <c r="F70" s="17">
        <v>46416</v>
      </c>
      <c r="G70" s="19" t="s">
        <v>95</v>
      </c>
      <c r="H70" s="20">
        <v>1.7500000000000002E-2</v>
      </c>
      <c r="I70" s="16">
        <v>4002857.14</v>
      </c>
      <c r="J70" s="16">
        <v>0</v>
      </c>
      <c r="K70" s="16">
        <v>0</v>
      </c>
      <c r="L70" s="16">
        <f t="shared" si="10"/>
        <v>4002857.14</v>
      </c>
      <c r="M70" s="16">
        <v>138651.85999999999</v>
      </c>
      <c r="N70" s="16">
        <v>27371.73</v>
      </c>
      <c r="O70" s="16">
        <f t="shared" si="11"/>
        <v>2657142.86</v>
      </c>
      <c r="P70" s="18" t="s">
        <v>53</v>
      </c>
      <c r="Q70" s="16">
        <v>1334285.75</v>
      </c>
      <c r="R70" s="16">
        <v>667142.78</v>
      </c>
      <c r="S70" s="16">
        <v>667142.84</v>
      </c>
      <c r="T70" s="16">
        <v>667142.84</v>
      </c>
      <c r="U70" s="16">
        <v>667142.84</v>
      </c>
      <c r="V70" s="16"/>
      <c r="W70" s="16"/>
      <c r="X70" s="16"/>
      <c r="Y70" s="16"/>
      <c r="Z70" s="16"/>
      <c r="AI70" s="6">
        <f t="shared" si="2"/>
        <v>9.0000000083819032E-2</v>
      </c>
      <c r="AJ70" s="7"/>
    </row>
    <row r="71" spans="2:36" x14ac:dyDescent="0.25">
      <c r="B71" s="35" t="s">
        <v>51</v>
      </c>
      <c r="C71" s="15" t="s">
        <v>46</v>
      </c>
      <c r="D71" s="16">
        <v>3500000</v>
      </c>
      <c r="E71" s="17">
        <v>43616</v>
      </c>
      <c r="F71" s="17">
        <v>45993</v>
      </c>
      <c r="G71" s="19" t="s">
        <v>95</v>
      </c>
      <c r="H71" s="20">
        <v>1.55E-2</v>
      </c>
      <c r="I71" s="16">
        <v>2041075.65</v>
      </c>
      <c r="J71" s="16">
        <v>655084.69999999995</v>
      </c>
      <c r="K71" s="16">
        <v>0</v>
      </c>
      <c r="L71" s="16">
        <f t="shared" si="10"/>
        <v>1385990.95</v>
      </c>
      <c r="M71" s="16">
        <v>64543.5</v>
      </c>
      <c r="N71" s="16">
        <v>0</v>
      </c>
      <c r="O71" s="16">
        <f t="shared" si="11"/>
        <v>2114009.0499999998</v>
      </c>
      <c r="P71" s="18" t="s">
        <v>54</v>
      </c>
      <c r="Q71" s="16">
        <v>678804.25</v>
      </c>
      <c r="R71" s="16">
        <v>707187.11</v>
      </c>
      <c r="S71" s="16"/>
      <c r="T71" s="16"/>
      <c r="U71" s="16"/>
      <c r="V71" s="16"/>
      <c r="W71" s="16"/>
      <c r="X71" s="16"/>
      <c r="Y71" s="16"/>
      <c r="Z71" s="16"/>
      <c r="AI71" s="6">
        <f t="shared" ref="AI71:AI134" si="12">+L71-Q71-R71-S71-T71-U71-V71-W71-X71-Y71-Z71-AA71-AB71-AC71-AD71-AE71-AF71-AG71-AH71</f>
        <v>-0.41000000003259629</v>
      </c>
      <c r="AJ71" s="7"/>
    </row>
    <row r="72" spans="2:36" x14ac:dyDescent="0.25">
      <c r="B72" s="35"/>
      <c r="C72" s="15" t="s">
        <v>29</v>
      </c>
      <c r="D72" s="16">
        <v>2700000</v>
      </c>
      <c r="E72" s="17">
        <v>43979</v>
      </c>
      <c r="F72" s="17">
        <v>46170</v>
      </c>
      <c r="G72" s="19" t="s">
        <v>96</v>
      </c>
      <c r="H72" s="20">
        <v>1.7500000000000002E-2</v>
      </c>
      <c r="I72" s="16">
        <v>2700000</v>
      </c>
      <c r="J72" s="16">
        <v>675000</v>
      </c>
      <c r="K72" s="16">
        <v>0</v>
      </c>
      <c r="L72" s="16">
        <f t="shared" si="10"/>
        <v>2025000</v>
      </c>
      <c r="M72" s="16">
        <v>90654.33</v>
      </c>
      <c r="N72" s="16">
        <v>6735.56</v>
      </c>
      <c r="O72" s="16">
        <f t="shared" si="11"/>
        <v>675000</v>
      </c>
      <c r="P72" s="18" t="s">
        <v>56</v>
      </c>
      <c r="Q72" s="16">
        <v>675000</v>
      </c>
      <c r="R72" s="16">
        <v>675000</v>
      </c>
      <c r="S72" s="16">
        <v>675000</v>
      </c>
      <c r="T72" s="16"/>
      <c r="U72" s="16"/>
      <c r="V72" s="16"/>
      <c r="W72" s="16"/>
      <c r="X72" s="16"/>
      <c r="Y72" s="16"/>
      <c r="Z72" s="16"/>
      <c r="AI72" s="6">
        <f t="shared" si="12"/>
        <v>0</v>
      </c>
      <c r="AJ72" s="7"/>
    </row>
    <row r="73" spans="2:36" x14ac:dyDescent="0.25">
      <c r="B73" s="35"/>
      <c r="C73" s="15" t="s">
        <v>43</v>
      </c>
      <c r="D73" s="16">
        <v>2840000</v>
      </c>
      <c r="E73" s="17">
        <v>44924</v>
      </c>
      <c r="F73" s="17">
        <v>49490</v>
      </c>
      <c r="G73" s="19" t="s">
        <v>22</v>
      </c>
      <c r="H73" s="20">
        <v>1.4999999999999999E-2</v>
      </c>
      <c r="I73" s="16">
        <v>2840000</v>
      </c>
      <c r="J73" s="16">
        <v>218461.54</v>
      </c>
      <c r="K73" s="16">
        <v>0</v>
      </c>
      <c r="L73" s="16">
        <f t="shared" si="10"/>
        <v>2621538.46</v>
      </c>
      <c r="M73" s="16">
        <v>52780.83</v>
      </c>
      <c r="N73" s="16">
        <v>0</v>
      </c>
      <c r="O73" s="16">
        <f t="shared" si="11"/>
        <v>218461.54000000004</v>
      </c>
      <c r="P73" s="18" t="s">
        <v>120</v>
      </c>
      <c r="Q73" s="16">
        <v>218461.54</v>
      </c>
      <c r="R73" s="16">
        <v>218461.54</v>
      </c>
      <c r="S73" s="16">
        <v>218461.54</v>
      </c>
      <c r="T73" s="16">
        <v>218461.54</v>
      </c>
      <c r="U73" s="16">
        <v>218461.54</v>
      </c>
      <c r="V73" s="16">
        <v>218461.54</v>
      </c>
      <c r="W73" s="16">
        <v>218461.54</v>
      </c>
      <c r="X73" s="16">
        <v>218461.54</v>
      </c>
      <c r="Y73" s="16">
        <v>218461</v>
      </c>
      <c r="Z73" s="16">
        <v>218461</v>
      </c>
      <c r="AA73" s="16">
        <v>218461</v>
      </c>
      <c r="AB73" s="16">
        <v>218463</v>
      </c>
      <c r="AI73" s="6">
        <f t="shared" si="12"/>
        <v>0.13999999966472387</v>
      </c>
      <c r="AJ73" s="7"/>
    </row>
    <row r="74" spans="2:36" x14ac:dyDescent="0.25">
      <c r="B74" s="35"/>
      <c r="C74" s="36" t="s">
        <v>40</v>
      </c>
      <c r="D74" s="16">
        <v>1050000</v>
      </c>
      <c r="E74" s="17">
        <v>44924</v>
      </c>
      <c r="F74" s="17">
        <v>46112</v>
      </c>
      <c r="G74" s="19" t="s">
        <v>94</v>
      </c>
      <c r="H74" s="20">
        <v>0.04</v>
      </c>
      <c r="I74" s="16">
        <v>1050000</v>
      </c>
      <c r="J74" s="16">
        <v>262500</v>
      </c>
      <c r="K74" s="16">
        <v>0</v>
      </c>
      <c r="L74" s="16">
        <f t="shared" si="10"/>
        <v>787500</v>
      </c>
      <c r="M74" s="16">
        <v>16012.85</v>
      </c>
      <c r="N74" s="16">
        <v>0</v>
      </c>
      <c r="O74" s="16">
        <f t="shared" si="11"/>
        <v>262500</v>
      </c>
      <c r="P74" s="18" t="s">
        <v>120</v>
      </c>
      <c r="Q74" s="16">
        <v>262500</v>
      </c>
      <c r="R74" s="16">
        <v>262500</v>
      </c>
      <c r="S74" s="16">
        <v>262500</v>
      </c>
      <c r="T74" s="16"/>
      <c r="U74" s="16"/>
      <c r="V74" s="16"/>
      <c r="W74" s="16"/>
      <c r="X74" s="16"/>
      <c r="Y74" s="16"/>
      <c r="Z74" s="16"/>
      <c r="AI74" s="6">
        <f t="shared" si="12"/>
        <v>0</v>
      </c>
      <c r="AJ74" s="7"/>
    </row>
    <row r="75" spans="2:36" x14ac:dyDescent="0.25">
      <c r="B75" s="37"/>
      <c r="C75" s="24" t="s">
        <v>47</v>
      </c>
      <c r="D75" s="38">
        <f>SUM(D67:D74)</f>
        <v>19201330.280000001</v>
      </c>
      <c r="E75" s="37"/>
      <c r="F75" s="39"/>
      <c r="G75" s="40"/>
      <c r="H75" s="41"/>
      <c r="I75" s="42">
        <f>SUM(I67:I74)</f>
        <v>13874496.029999999</v>
      </c>
      <c r="J75" s="42">
        <f t="shared" ref="J75:O75" si="13">SUM(J67:J74)</f>
        <v>2176644.9</v>
      </c>
      <c r="K75" s="42">
        <f t="shared" si="13"/>
        <v>0</v>
      </c>
      <c r="L75" s="42">
        <f t="shared" si="13"/>
        <v>11697851.130000001</v>
      </c>
      <c r="M75" s="42">
        <f t="shared" si="13"/>
        <v>372511.69999999995</v>
      </c>
      <c r="N75" s="42">
        <f t="shared" si="13"/>
        <v>35667.29</v>
      </c>
      <c r="O75" s="42">
        <f t="shared" si="13"/>
        <v>7503479.1499999994</v>
      </c>
      <c r="P75" s="42"/>
      <c r="Q75" s="42">
        <f t="shared" ref="Q75:AB75" si="14">SUM(Q67:Q74)</f>
        <v>3501937.9</v>
      </c>
      <c r="R75" s="42">
        <f t="shared" si="14"/>
        <v>2747122.79</v>
      </c>
      <c r="S75" s="42">
        <f t="shared" si="14"/>
        <v>2039935.74</v>
      </c>
      <c r="T75" s="42">
        <f t="shared" si="14"/>
        <v>994020.12</v>
      </c>
      <c r="U75" s="42">
        <f t="shared" si="14"/>
        <v>885604.38</v>
      </c>
      <c r="V75" s="42">
        <f t="shared" si="14"/>
        <v>218461.54</v>
      </c>
      <c r="W75" s="42">
        <f t="shared" si="14"/>
        <v>218461.54</v>
      </c>
      <c r="X75" s="42">
        <f t="shared" si="14"/>
        <v>218461.54</v>
      </c>
      <c r="Y75" s="42">
        <f t="shared" si="14"/>
        <v>218461</v>
      </c>
      <c r="Z75" s="42">
        <f t="shared" si="14"/>
        <v>218461</v>
      </c>
      <c r="AA75" s="42">
        <f t="shared" si="14"/>
        <v>218461</v>
      </c>
      <c r="AB75" s="42">
        <f t="shared" si="14"/>
        <v>218463</v>
      </c>
      <c r="AC75" s="42"/>
      <c r="AD75" s="42"/>
      <c r="AE75" s="42"/>
      <c r="AF75" s="42"/>
      <c r="AG75" s="42"/>
      <c r="AH75" s="42"/>
      <c r="AI75" s="6">
        <f t="shared" si="12"/>
        <v>-0.41999999992549419</v>
      </c>
      <c r="AJ75" s="7"/>
    </row>
    <row r="76" spans="2:36" x14ac:dyDescent="0.25">
      <c r="B76" s="26" t="s">
        <v>57</v>
      </c>
      <c r="C76" s="15" t="s">
        <v>46</v>
      </c>
      <c r="D76" s="43">
        <v>486000</v>
      </c>
      <c r="E76" s="44">
        <v>44558</v>
      </c>
      <c r="F76" s="44">
        <v>48210</v>
      </c>
      <c r="G76" s="45" t="s">
        <v>22</v>
      </c>
      <c r="H76" s="46">
        <v>8.9999999999999993E-3</v>
      </c>
      <c r="I76" s="43">
        <v>486000</v>
      </c>
      <c r="J76" s="43">
        <v>46023.9</v>
      </c>
      <c r="K76" s="43">
        <v>0</v>
      </c>
      <c r="L76" s="43">
        <f t="shared" si="10"/>
        <v>439976.1</v>
      </c>
      <c r="M76" s="43">
        <v>17142.36</v>
      </c>
      <c r="N76" s="43">
        <v>685.69</v>
      </c>
      <c r="O76" s="43">
        <f t="shared" si="11"/>
        <v>46023.900000000023</v>
      </c>
      <c r="P76" s="47" t="s">
        <v>59</v>
      </c>
      <c r="Q76" s="43">
        <v>45679.95</v>
      </c>
      <c r="R76" s="43">
        <v>48073.919999999998</v>
      </c>
      <c r="S76" s="43">
        <v>50593.31</v>
      </c>
      <c r="T76" s="43">
        <v>53244.77</v>
      </c>
      <c r="U76" s="43">
        <v>56035.18</v>
      </c>
      <c r="V76" s="43">
        <v>58971.8</v>
      </c>
      <c r="W76" s="43">
        <v>62062.33</v>
      </c>
      <c r="X76" s="43">
        <v>65314.84</v>
      </c>
      <c r="Y76" s="43"/>
      <c r="Z76" s="43"/>
      <c r="AA76" s="43"/>
      <c r="AB76" s="48"/>
      <c r="AC76" s="48"/>
      <c r="AD76" s="48"/>
      <c r="AE76" s="48"/>
      <c r="AF76" s="48"/>
      <c r="AG76" s="48"/>
      <c r="AH76" s="48"/>
      <c r="AI76" s="6">
        <f t="shared" si="12"/>
        <v>0</v>
      </c>
      <c r="AJ76" s="7"/>
    </row>
    <row r="77" spans="2:36" x14ac:dyDescent="0.25">
      <c r="B77" s="23"/>
      <c r="C77" s="33" t="s">
        <v>47</v>
      </c>
      <c r="D77" s="25">
        <f>SUM(D76)</f>
        <v>486000</v>
      </c>
      <c r="E77" s="23"/>
      <c r="F77" s="23"/>
      <c r="G77" s="24"/>
      <c r="H77" s="25"/>
      <c r="I77" s="25">
        <f t="shared" ref="I77" si="15">SUM(I76)</f>
        <v>486000</v>
      </c>
      <c r="J77" s="25">
        <f t="shared" ref="J77" si="16">SUM(J76)</f>
        <v>46023.9</v>
      </c>
      <c r="K77" s="25">
        <f t="shared" ref="K77" si="17">SUM(K76)</f>
        <v>0</v>
      </c>
      <c r="L77" s="25">
        <f t="shared" ref="L77" si="18">SUM(L76)</f>
        <v>439976.1</v>
      </c>
      <c r="M77" s="25">
        <f t="shared" ref="M77" si="19">SUM(M76)</f>
        <v>17142.36</v>
      </c>
      <c r="N77" s="25">
        <f t="shared" ref="N77" si="20">SUM(N76)</f>
        <v>685.69</v>
      </c>
      <c r="O77" s="25">
        <f t="shared" ref="O77" si="21">SUM(O76)</f>
        <v>46023.900000000023</v>
      </c>
      <c r="P77" s="25"/>
      <c r="Q77" s="25">
        <f t="shared" ref="Q77" si="22">SUM(Q76)</f>
        <v>45679.95</v>
      </c>
      <c r="R77" s="25">
        <f t="shared" ref="R77" si="23">SUM(R76)</f>
        <v>48073.919999999998</v>
      </c>
      <c r="S77" s="25">
        <f t="shared" ref="S77" si="24">SUM(S76)</f>
        <v>50593.31</v>
      </c>
      <c r="T77" s="25">
        <f t="shared" ref="T77" si="25">SUM(T76)</f>
        <v>53244.77</v>
      </c>
      <c r="U77" s="25">
        <f t="shared" ref="U77" si="26">SUM(U76)</f>
        <v>56035.18</v>
      </c>
      <c r="V77" s="25">
        <f t="shared" ref="V77" si="27">SUM(V76)</f>
        <v>58971.8</v>
      </c>
      <c r="W77" s="25">
        <f t="shared" ref="W77" si="28">SUM(W76)</f>
        <v>62062.33</v>
      </c>
      <c r="X77" s="25">
        <f t="shared" ref="X77" si="29">SUM(X76)</f>
        <v>65314.84</v>
      </c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6">
        <f t="shared" si="12"/>
        <v>0</v>
      </c>
      <c r="AJ77" s="7"/>
    </row>
    <row r="78" spans="2:36" x14ac:dyDescent="0.25">
      <c r="B78" s="26" t="s">
        <v>60</v>
      </c>
      <c r="C78" s="36" t="s">
        <v>26</v>
      </c>
      <c r="D78" s="43">
        <v>4000000</v>
      </c>
      <c r="E78" s="44">
        <v>43497</v>
      </c>
      <c r="F78" s="44">
        <v>47150</v>
      </c>
      <c r="G78" s="45" t="s">
        <v>94</v>
      </c>
      <c r="H78" s="49">
        <v>1.7500000000000002E-2</v>
      </c>
      <c r="I78" s="43">
        <v>2559430.3199999998</v>
      </c>
      <c r="J78" s="43">
        <v>367820.06</v>
      </c>
      <c r="K78" s="43">
        <v>0</v>
      </c>
      <c r="L78" s="43">
        <f t="shared" si="10"/>
        <v>2191610.2599999998</v>
      </c>
      <c r="M78" s="43">
        <v>113810.76000000001</v>
      </c>
      <c r="N78" s="43">
        <v>240</v>
      </c>
      <c r="O78" s="43">
        <f t="shared" si="11"/>
        <v>1808389.7400000002</v>
      </c>
      <c r="P78" s="50" t="s">
        <v>61</v>
      </c>
      <c r="Q78" s="43">
        <v>375828.46</v>
      </c>
      <c r="R78" s="43">
        <v>397664.8299999999</v>
      </c>
      <c r="S78" s="43">
        <v>420757.45999999996</v>
      </c>
      <c r="T78" s="43">
        <v>445191.08</v>
      </c>
      <c r="U78" s="43">
        <v>471043.57999999996</v>
      </c>
      <c r="V78" s="43">
        <v>81124.850000000006</v>
      </c>
      <c r="W78" s="43"/>
      <c r="X78" s="43"/>
      <c r="Y78" s="43"/>
      <c r="Z78" s="43"/>
      <c r="AA78" s="43"/>
      <c r="AB78" s="48"/>
      <c r="AC78" s="48"/>
      <c r="AD78" s="48"/>
      <c r="AE78" s="48"/>
      <c r="AF78" s="48"/>
      <c r="AG78" s="48"/>
      <c r="AH78" s="48"/>
      <c r="AI78" s="6">
        <f t="shared" si="12"/>
        <v>-2.9103830456733704E-11</v>
      </c>
      <c r="AJ78" s="7"/>
    </row>
    <row r="79" spans="2:36" x14ac:dyDescent="0.25">
      <c r="B79" s="23"/>
      <c r="C79" s="24" t="s">
        <v>47</v>
      </c>
      <c r="D79" s="25">
        <f>SUM(D78)</f>
        <v>4000000</v>
      </c>
      <c r="E79" s="23"/>
      <c r="F79" s="23"/>
      <c r="G79" s="24"/>
      <c r="H79" s="25"/>
      <c r="I79" s="25">
        <f t="shared" ref="I79" si="30">SUM(I78)</f>
        <v>2559430.3199999998</v>
      </c>
      <c r="J79" s="25">
        <f t="shared" ref="J79" si="31">SUM(J78)</f>
        <v>367820.06</v>
      </c>
      <c r="K79" s="25">
        <f t="shared" ref="K79" si="32">SUM(K78)</f>
        <v>0</v>
      </c>
      <c r="L79" s="25">
        <f t="shared" ref="L79" si="33">SUM(L78)</f>
        <v>2191610.2599999998</v>
      </c>
      <c r="M79" s="25">
        <f t="shared" ref="M79" si="34">SUM(M78)</f>
        <v>113810.76000000001</v>
      </c>
      <c r="N79" s="25">
        <f t="shared" ref="N79" si="35">SUM(N78)</f>
        <v>240</v>
      </c>
      <c r="O79" s="25">
        <f t="shared" ref="O79" si="36">SUM(O78)</f>
        <v>1808389.7400000002</v>
      </c>
      <c r="P79" s="25"/>
      <c r="Q79" s="25">
        <f t="shared" ref="Q79" si="37">SUM(Q78)</f>
        <v>375828.46</v>
      </c>
      <c r="R79" s="25">
        <f t="shared" ref="R79" si="38">SUM(R78)</f>
        <v>397664.8299999999</v>
      </c>
      <c r="S79" s="25">
        <f t="shared" ref="S79" si="39">SUM(S78)</f>
        <v>420757.45999999996</v>
      </c>
      <c r="T79" s="25">
        <f t="shared" ref="T79" si="40">SUM(T78)</f>
        <v>445191.08</v>
      </c>
      <c r="U79" s="25">
        <f t="shared" ref="U79" si="41">SUM(U78)</f>
        <v>471043.57999999996</v>
      </c>
      <c r="V79" s="25">
        <f t="shared" ref="V79" si="42">SUM(V78)</f>
        <v>81124.850000000006</v>
      </c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6">
        <f t="shared" si="12"/>
        <v>-2.9103830456733704E-11</v>
      </c>
      <c r="AJ79" s="7"/>
    </row>
    <row r="80" spans="2:36" ht="13.5" x14ac:dyDescent="0.25">
      <c r="B80" s="97" t="s">
        <v>142</v>
      </c>
      <c r="C80" s="15" t="s">
        <v>155</v>
      </c>
      <c r="D80" s="16">
        <v>40000000</v>
      </c>
      <c r="E80" s="17">
        <v>44834</v>
      </c>
      <c r="F80" s="17">
        <v>46996</v>
      </c>
      <c r="G80" s="19" t="s">
        <v>22</v>
      </c>
      <c r="H80" s="20">
        <v>1.15E-2</v>
      </c>
      <c r="I80" s="16">
        <v>40000000</v>
      </c>
      <c r="J80" s="16">
        <v>0</v>
      </c>
      <c r="K80" s="16">
        <v>0</v>
      </c>
      <c r="L80" s="16">
        <v>40000000</v>
      </c>
      <c r="M80" s="16">
        <v>1118779.9974574698</v>
      </c>
      <c r="N80" s="16">
        <v>73353.599898298795</v>
      </c>
      <c r="O80" s="16">
        <v>0</v>
      </c>
      <c r="P80" s="52" t="s">
        <v>99</v>
      </c>
      <c r="Q80" s="16">
        <v>1500000</v>
      </c>
      <c r="R80" s="16">
        <v>6000000</v>
      </c>
      <c r="S80" s="16">
        <v>6500000</v>
      </c>
      <c r="T80" s="16">
        <v>11000000</v>
      </c>
      <c r="U80" s="16">
        <v>15000000</v>
      </c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6">
        <f t="shared" si="12"/>
        <v>0</v>
      </c>
      <c r="AJ80" s="7"/>
    </row>
    <row r="81" spans="2:36" ht="13.5" x14ac:dyDescent="0.25">
      <c r="B81" s="98"/>
      <c r="C81" s="9" t="s">
        <v>156</v>
      </c>
      <c r="D81" s="16">
        <v>30000000</v>
      </c>
      <c r="E81" s="17">
        <v>44881</v>
      </c>
      <c r="F81" s="17">
        <v>47073</v>
      </c>
      <c r="G81" s="19" t="s">
        <v>141</v>
      </c>
      <c r="H81" s="20">
        <v>1.15E-2</v>
      </c>
      <c r="I81" s="16">
        <v>30000000</v>
      </c>
      <c r="J81" s="16">
        <v>0</v>
      </c>
      <c r="K81" s="16">
        <v>0</v>
      </c>
      <c r="L81" s="16">
        <v>30000000</v>
      </c>
      <c r="M81" s="16">
        <v>788749.17</v>
      </c>
      <c r="N81" s="16">
        <v>46337.433599999997</v>
      </c>
      <c r="O81" s="16">
        <v>0</v>
      </c>
      <c r="P81" s="52" t="s">
        <v>143</v>
      </c>
      <c r="Q81" s="16"/>
      <c r="R81" s="16"/>
      <c r="S81" s="16"/>
      <c r="T81" s="16"/>
      <c r="U81" s="16">
        <v>30000000</v>
      </c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6">
        <f t="shared" si="12"/>
        <v>0</v>
      </c>
      <c r="AJ81" s="7"/>
    </row>
    <row r="82" spans="2:36" ht="15" customHeight="1" x14ac:dyDescent="0.25">
      <c r="B82" s="98"/>
      <c r="C82" s="9" t="s">
        <v>157</v>
      </c>
      <c r="D82" s="16">
        <v>65000000</v>
      </c>
      <c r="E82" s="17">
        <v>44858</v>
      </c>
      <c r="F82" s="17">
        <v>47050</v>
      </c>
      <c r="G82" s="99">
        <v>2.8459999999999999E-2</v>
      </c>
      <c r="H82" s="99"/>
      <c r="I82" s="16">
        <v>65000000</v>
      </c>
      <c r="J82" s="16">
        <v>0</v>
      </c>
      <c r="K82" s="16">
        <v>0</v>
      </c>
      <c r="L82" s="16">
        <v>65000000</v>
      </c>
      <c r="M82" s="16">
        <v>2683200</v>
      </c>
      <c r="N82" s="16">
        <v>0</v>
      </c>
      <c r="O82" s="16">
        <v>0</v>
      </c>
      <c r="P82" s="52" t="s">
        <v>144</v>
      </c>
      <c r="Q82" s="16"/>
      <c r="R82" s="16"/>
      <c r="S82" s="16"/>
      <c r="T82" s="16"/>
      <c r="U82" s="16">
        <v>65000000</v>
      </c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6">
        <f t="shared" si="12"/>
        <v>0</v>
      </c>
      <c r="AJ82" s="7"/>
    </row>
    <row r="83" spans="2:36" ht="13.5" x14ac:dyDescent="0.25">
      <c r="B83" s="98"/>
      <c r="C83" s="9" t="s">
        <v>157</v>
      </c>
      <c r="D83" s="16">
        <v>65000000</v>
      </c>
      <c r="E83" s="17">
        <v>43454</v>
      </c>
      <c r="F83" s="17">
        <v>47107</v>
      </c>
      <c r="G83" s="99">
        <v>2.7109999999999999E-2</v>
      </c>
      <c r="H83" s="99">
        <v>2.7109999999999999E-2</v>
      </c>
      <c r="I83" s="16">
        <v>65000000</v>
      </c>
      <c r="J83" s="16">
        <v>0</v>
      </c>
      <c r="K83" s="16">
        <v>0</v>
      </c>
      <c r="L83" s="16">
        <v>65000000</v>
      </c>
      <c r="M83" s="16">
        <v>1762150</v>
      </c>
      <c r="N83" s="16">
        <v>0</v>
      </c>
      <c r="O83" s="16">
        <v>0</v>
      </c>
      <c r="P83" s="52" t="s">
        <v>66</v>
      </c>
      <c r="Q83" s="16"/>
      <c r="R83" s="16"/>
      <c r="S83" s="16"/>
      <c r="T83" s="16"/>
      <c r="U83" s="16">
        <v>65000000</v>
      </c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6">
        <f t="shared" si="12"/>
        <v>0</v>
      </c>
      <c r="AJ83" s="7"/>
    </row>
    <row r="84" spans="2:36" x14ac:dyDescent="0.25">
      <c r="B84" s="23"/>
      <c r="C84" s="24" t="s">
        <v>47</v>
      </c>
      <c r="D84" s="25">
        <f>SUM(D80:D83)</f>
        <v>200000000</v>
      </c>
      <c r="E84" s="23"/>
      <c r="F84" s="54"/>
      <c r="G84" s="55"/>
      <c r="H84" s="56"/>
      <c r="I84" s="25">
        <f t="shared" ref="I84:O84" si="43">SUM(I80:I83)</f>
        <v>200000000</v>
      </c>
      <c r="J84" s="25">
        <f t="shared" si="43"/>
        <v>0</v>
      </c>
      <c r="K84" s="25">
        <f t="shared" si="43"/>
        <v>0</v>
      </c>
      <c r="L84" s="25">
        <f t="shared" si="43"/>
        <v>200000000</v>
      </c>
      <c r="M84" s="25">
        <f t="shared" si="43"/>
        <v>6352879.1674574697</v>
      </c>
      <c r="N84" s="25">
        <f t="shared" si="43"/>
        <v>119691.03349829878</v>
      </c>
      <c r="O84" s="25">
        <f t="shared" si="43"/>
        <v>0</v>
      </c>
      <c r="P84" s="25"/>
      <c r="Q84" s="25">
        <f t="shared" ref="Q84:U84" si="44">SUM(Q80:Q83)</f>
        <v>1500000</v>
      </c>
      <c r="R84" s="25">
        <f t="shared" si="44"/>
        <v>6000000</v>
      </c>
      <c r="S84" s="25">
        <f t="shared" si="44"/>
        <v>6500000</v>
      </c>
      <c r="T84" s="25">
        <f t="shared" si="44"/>
        <v>11000000</v>
      </c>
      <c r="U84" s="25">
        <f t="shared" si="44"/>
        <v>175000000</v>
      </c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6">
        <f t="shared" si="12"/>
        <v>0</v>
      </c>
      <c r="AJ84" s="7"/>
    </row>
    <row r="85" spans="2:36" x14ac:dyDescent="0.25">
      <c r="B85" s="97" t="s">
        <v>62</v>
      </c>
      <c r="C85" s="15" t="s">
        <v>43</v>
      </c>
      <c r="D85" s="16">
        <v>2300000</v>
      </c>
      <c r="E85" s="17">
        <v>43081</v>
      </c>
      <c r="F85" s="17">
        <v>45272</v>
      </c>
      <c r="G85" s="19" t="s">
        <v>22</v>
      </c>
      <c r="H85" s="20">
        <v>4.4999999999999998E-2</v>
      </c>
      <c r="I85" s="16">
        <v>519404</v>
      </c>
      <c r="J85" s="16">
        <v>519404</v>
      </c>
      <c r="K85" s="16">
        <v>0</v>
      </c>
      <c r="L85" s="16">
        <v>0</v>
      </c>
      <c r="M85" s="16">
        <v>17981.939999999999</v>
      </c>
      <c r="N85" s="16">
        <v>795.57798090753499</v>
      </c>
      <c r="O85" s="16">
        <v>2300000</v>
      </c>
      <c r="P85" s="52" t="s">
        <v>50</v>
      </c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6">
        <f t="shared" si="12"/>
        <v>0</v>
      </c>
      <c r="AJ85" s="7"/>
    </row>
    <row r="86" spans="2:36" x14ac:dyDescent="0.25">
      <c r="B86" s="98"/>
      <c r="C86" s="9" t="s">
        <v>26</v>
      </c>
      <c r="D86" s="16">
        <v>4000000</v>
      </c>
      <c r="E86" s="17">
        <v>41905</v>
      </c>
      <c r="F86" s="17">
        <v>45739</v>
      </c>
      <c r="G86" s="19" t="s">
        <v>20</v>
      </c>
      <c r="H86" s="20">
        <v>4.2500000000000003E-2</v>
      </c>
      <c r="I86" s="16">
        <v>964302</v>
      </c>
      <c r="J86" s="16">
        <v>416539.75</v>
      </c>
      <c r="K86" s="16">
        <v>0</v>
      </c>
      <c r="L86" s="16">
        <v>547762.25</v>
      </c>
      <c r="M86" s="16">
        <v>33711.620000000003</v>
      </c>
      <c r="N86" s="16">
        <v>1519.7381678791201</v>
      </c>
      <c r="O86" s="16">
        <v>3452237.75</v>
      </c>
      <c r="P86" s="3"/>
      <c r="Q86" s="16">
        <v>430368.69</v>
      </c>
      <c r="R86" s="16">
        <v>117393.470052005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6">
        <f t="shared" si="12"/>
        <v>8.9947995002148673E-2</v>
      </c>
      <c r="AJ86" s="7"/>
    </row>
    <row r="87" spans="2:36" x14ac:dyDescent="0.25">
      <c r="B87" s="98"/>
      <c r="C87" s="9" t="s">
        <v>42</v>
      </c>
      <c r="D87" s="16">
        <v>16500000</v>
      </c>
      <c r="E87" s="17">
        <v>39823</v>
      </c>
      <c r="F87" s="17">
        <v>45087</v>
      </c>
      <c r="G87" s="19" t="s">
        <v>55</v>
      </c>
      <c r="H87" s="20">
        <v>4.0000000000000001E-3</v>
      </c>
      <c r="I87" s="16">
        <v>304768.55000000045</v>
      </c>
      <c r="J87" s="16">
        <v>304768.55</v>
      </c>
      <c r="K87" s="16">
        <v>0</v>
      </c>
      <c r="L87" s="16">
        <v>4.6566128730773926E-10</v>
      </c>
      <c r="M87" s="16">
        <v>2100.64</v>
      </c>
      <c r="N87" s="16">
        <v>508.5800000000163</v>
      </c>
      <c r="O87" s="16">
        <v>16500000</v>
      </c>
      <c r="P87" s="8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6">
        <f t="shared" si="12"/>
        <v>4.6566128730773926E-10</v>
      </c>
      <c r="AJ87" s="7"/>
    </row>
    <row r="88" spans="2:36" x14ac:dyDescent="0.25">
      <c r="B88" s="98"/>
      <c r="C88" s="9" t="s">
        <v>64</v>
      </c>
      <c r="D88" s="16">
        <v>26619.9</v>
      </c>
      <c r="E88" s="17">
        <v>43462</v>
      </c>
      <c r="F88" s="17">
        <v>45319</v>
      </c>
      <c r="G88" s="99">
        <v>4.2999999999999997E-2</v>
      </c>
      <c r="H88" s="99"/>
      <c r="I88" s="16">
        <v>4700</v>
      </c>
      <c r="J88" s="16">
        <v>4247.79</v>
      </c>
      <c r="K88" s="16">
        <v>0</v>
      </c>
      <c r="L88" s="16">
        <v>452.21000000000004</v>
      </c>
      <c r="M88" s="16">
        <v>83.95</v>
      </c>
      <c r="N88" s="16">
        <v>33.549999999999997</v>
      </c>
      <c r="O88" s="16">
        <v>26167.690000000002</v>
      </c>
      <c r="P88" s="8"/>
      <c r="Q88" s="16">
        <v>452.210000000001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6">
        <f t="shared" si="12"/>
        <v>-9.6633812063373625E-13</v>
      </c>
      <c r="AJ88" s="7"/>
    </row>
    <row r="89" spans="2:36" x14ac:dyDescent="0.25">
      <c r="B89" s="98"/>
      <c r="C89" s="9" t="s">
        <v>25</v>
      </c>
      <c r="D89" s="16">
        <v>40500000</v>
      </c>
      <c r="E89" s="17">
        <v>43000</v>
      </c>
      <c r="F89" s="17">
        <v>47839</v>
      </c>
      <c r="G89" s="99">
        <v>4.4499999999999998E-2</v>
      </c>
      <c r="H89" s="99"/>
      <c r="I89" s="16">
        <v>30890621</v>
      </c>
      <c r="J89" s="16">
        <v>3243698.4200000018</v>
      </c>
      <c r="K89" s="16">
        <v>0</v>
      </c>
      <c r="L89" s="16">
        <v>27646922.579999998</v>
      </c>
      <c r="M89" s="16">
        <v>1332642.5900000001</v>
      </c>
      <c r="N89" s="16">
        <v>19.489999999999998</v>
      </c>
      <c r="O89" s="16">
        <v>12853077.420000002</v>
      </c>
      <c r="P89" s="8"/>
      <c r="Q89" s="16">
        <v>3396633.8000000003</v>
      </c>
      <c r="R89" s="16">
        <v>3553382.54</v>
      </c>
      <c r="S89" s="16">
        <v>3717364.9000000004</v>
      </c>
      <c r="T89" s="16">
        <v>3888914.8000000007</v>
      </c>
      <c r="U89" s="16">
        <v>4068381.4200000009</v>
      </c>
      <c r="V89" s="16">
        <v>4256130.08</v>
      </c>
      <c r="W89" s="16">
        <v>4766115.04</v>
      </c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6">
        <f t="shared" si="12"/>
        <v>-6.5192580223083496E-9</v>
      </c>
      <c r="AJ89" s="7"/>
    </row>
    <row r="90" spans="2:36" x14ac:dyDescent="0.25">
      <c r="B90" s="98"/>
      <c r="C90" s="9" t="s">
        <v>29</v>
      </c>
      <c r="D90" s="16">
        <v>34990</v>
      </c>
      <c r="E90" s="17">
        <v>43120</v>
      </c>
      <c r="F90" s="17">
        <v>44946</v>
      </c>
      <c r="G90" s="19" t="s">
        <v>22</v>
      </c>
      <c r="H90" s="20">
        <v>0.03</v>
      </c>
      <c r="I90" s="16">
        <v>997</v>
      </c>
      <c r="J90" s="16">
        <v>996.89000000000283</v>
      </c>
      <c r="K90" s="16">
        <v>0</v>
      </c>
      <c r="L90" s="16">
        <v>0</v>
      </c>
      <c r="M90" s="16">
        <v>2.4900000000000002</v>
      </c>
      <c r="N90" s="16">
        <v>0</v>
      </c>
      <c r="O90" s="16">
        <v>34990</v>
      </c>
      <c r="P90" s="8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6">
        <f t="shared" si="12"/>
        <v>0</v>
      </c>
      <c r="AJ90" s="7"/>
    </row>
    <row r="91" spans="2:36" x14ac:dyDescent="0.25">
      <c r="B91" s="98"/>
      <c r="C91" s="15" t="s">
        <v>35</v>
      </c>
      <c r="D91" s="16">
        <v>67404</v>
      </c>
      <c r="E91" s="17">
        <v>43206</v>
      </c>
      <c r="F91" s="17">
        <v>45026</v>
      </c>
      <c r="G91" s="19" t="s">
        <v>20</v>
      </c>
      <c r="H91" s="20">
        <v>2.6499999999999999E-2</v>
      </c>
      <c r="I91" s="16">
        <v>3704</v>
      </c>
      <c r="J91" s="16">
        <v>3703.74</v>
      </c>
      <c r="K91" s="16">
        <v>0</v>
      </c>
      <c r="L91" s="16">
        <v>0</v>
      </c>
      <c r="M91" s="16">
        <v>23</v>
      </c>
      <c r="N91" s="16">
        <v>92.002696350911719</v>
      </c>
      <c r="O91" s="16">
        <v>67404</v>
      </c>
      <c r="P91" s="8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6">
        <f t="shared" si="12"/>
        <v>0</v>
      </c>
      <c r="AJ91" s="7"/>
    </row>
    <row r="92" spans="2:36" x14ac:dyDescent="0.25">
      <c r="B92" s="98"/>
      <c r="C92" s="9" t="s">
        <v>98</v>
      </c>
      <c r="D92" s="16">
        <v>60000000</v>
      </c>
      <c r="E92" s="17">
        <v>44915</v>
      </c>
      <c r="F92" s="17">
        <v>46376</v>
      </c>
      <c r="G92" s="19" t="s">
        <v>36</v>
      </c>
      <c r="H92" s="20">
        <v>6.25E-2</v>
      </c>
      <c r="I92" s="16">
        <v>60000000</v>
      </c>
      <c r="J92" s="16">
        <v>60000000</v>
      </c>
      <c r="K92" s="16">
        <v>0</v>
      </c>
      <c r="L92" s="16">
        <v>0</v>
      </c>
      <c r="M92" s="16">
        <v>4114643.33</v>
      </c>
      <c r="N92" s="16">
        <v>0</v>
      </c>
      <c r="O92" s="16">
        <v>60000000</v>
      </c>
      <c r="P92" s="57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6">
        <f t="shared" si="12"/>
        <v>0</v>
      </c>
      <c r="AJ92" s="7"/>
    </row>
    <row r="93" spans="2:36" x14ac:dyDescent="0.25">
      <c r="B93" s="23"/>
      <c r="C93" s="24" t="s">
        <v>47</v>
      </c>
      <c r="D93" s="25">
        <f>SUM(D85:D92)</f>
        <v>123429013.90000001</v>
      </c>
      <c r="E93" s="23"/>
      <c r="F93" s="54"/>
      <c r="G93" s="55"/>
      <c r="H93" s="56"/>
      <c r="I93" s="25">
        <f t="shared" ref="I93:O93" si="45">SUM(I85:I92)</f>
        <v>92688496.549999997</v>
      </c>
      <c r="J93" s="25">
        <f t="shared" si="45"/>
        <v>64493359.140000001</v>
      </c>
      <c r="K93" s="25">
        <f t="shared" si="45"/>
        <v>0</v>
      </c>
      <c r="L93" s="25">
        <f t="shared" si="45"/>
        <v>28195137.039999999</v>
      </c>
      <c r="M93" s="25">
        <f t="shared" si="45"/>
        <v>5501189.5600000005</v>
      </c>
      <c r="N93" s="25">
        <f t="shared" si="45"/>
        <v>2968.938845137583</v>
      </c>
      <c r="O93" s="25">
        <f t="shared" si="45"/>
        <v>95233876.859999999</v>
      </c>
      <c r="P93" s="25"/>
      <c r="Q93" s="25">
        <f t="shared" ref="Q93:W93" si="46">SUM(Q85:Q92)</f>
        <v>3827454.7</v>
      </c>
      <c r="R93" s="25">
        <f t="shared" si="46"/>
        <v>3670776.0100520048</v>
      </c>
      <c r="S93" s="25">
        <f t="shared" si="46"/>
        <v>3717364.9000000004</v>
      </c>
      <c r="T93" s="25">
        <f t="shared" si="46"/>
        <v>3888914.8000000007</v>
      </c>
      <c r="U93" s="25">
        <f t="shared" si="46"/>
        <v>4068381.4200000009</v>
      </c>
      <c r="V93" s="25">
        <f t="shared" si="46"/>
        <v>4256130.08</v>
      </c>
      <c r="W93" s="25">
        <f t="shared" si="46"/>
        <v>4766115.04</v>
      </c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6">
        <f t="shared" si="12"/>
        <v>8.9947992004454136E-2</v>
      </c>
      <c r="AJ93" s="7"/>
    </row>
    <row r="94" spans="2:36" x14ac:dyDescent="0.25">
      <c r="B94" s="51" t="s">
        <v>67</v>
      </c>
      <c r="C94" s="9" t="s">
        <v>26</v>
      </c>
      <c r="D94" s="16">
        <v>4000000</v>
      </c>
      <c r="E94" s="17">
        <v>41905</v>
      </c>
      <c r="F94" s="17">
        <v>45739</v>
      </c>
      <c r="G94" s="19" t="s">
        <v>20</v>
      </c>
      <c r="H94" s="58">
        <v>4.2500000000000003E-2</v>
      </c>
      <c r="I94" s="16">
        <v>964302</v>
      </c>
      <c r="J94" s="16">
        <v>311577.84000000003</v>
      </c>
      <c r="K94" s="16">
        <v>0</v>
      </c>
      <c r="L94" s="16">
        <v>547762.22005200526</v>
      </c>
      <c r="M94" s="6">
        <v>33711.620000000003</v>
      </c>
      <c r="N94" s="6">
        <v>1519.7381678791201</v>
      </c>
      <c r="O94" s="6">
        <v>3452237.7799479947</v>
      </c>
      <c r="P94" s="8"/>
      <c r="Q94" s="16">
        <v>430369</v>
      </c>
      <c r="R94" s="16">
        <v>117393</v>
      </c>
      <c r="S94" s="16"/>
      <c r="T94" s="16"/>
      <c r="U94" s="16"/>
      <c r="V94" s="16"/>
      <c r="W94" s="16"/>
      <c r="X94" s="16"/>
      <c r="AI94" s="6">
        <f t="shared" si="12"/>
        <v>0.22005200525745749</v>
      </c>
      <c r="AJ94" s="7"/>
    </row>
    <row r="95" spans="2:36" x14ac:dyDescent="0.25">
      <c r="B95" s="23"/>
      <c r="C95" s="24" t="s">
        <v>47</v>
      </c>
      <c r="D95" s="25">
        <f>SUM(D94:D94)</f>
        <v>4000000</v>
      </c>
      <c r="E95" s="23"/>
      <c r="F95" s="54"/>
      <c r="G95" s="55"/>
      <c r="H95" s="56"/>
      <c r="I95" s="25">
        <f t="shared" ref="I95:O95" si="47">SUM(I94:I94)</f>
        <v>964302</v>
      </c>
      <c r="J95" s="25">
        <f t="shared" si="47"/>
        <v>311577.84000000003</v>
      </c>
      <c r="K95" s="25">
        <f t="shared" si="47"/>
        <v>0</v>
      </c>
      <c r="L95" s="25">
        <f t="shared" si="47"/>
        <v>547762.22005200526</v>
      </c>
      <c r="M95" s="25">
        <f t="shared" si="47"/>
        <v>33711.620000000003</v>
      </c>
      <c r="N95" s="25">
        <f t="shared" si="47"/>
        <v>1519.7381678791201</v>
      </c>
      <c r="O95" s="25">
        <f t="shared" si="47"/>
        <v>3452237.7799479947</v>
      </c>
      <c r="P95" s="25"/>
      <c r="Q95" s="25">
        <f t="shared" ref="Q95:R95" si="48">SUM(Q94:Q94)</f>
        <v>430369</v>
      </c>
      <c r="R95" s="25">
        <f t="shared" si="48"/>
        <v>117393</v>
      </c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6">
        <f t="shared" si="12"/>
        <v>0.22005200525745749</v>
      </c>
      <c r="AJ95" s="7"/>
    </row>
    <row r="96" spans="2:36" ht="15" customHeight="1" x14ac:dyDescent="0.25">
      <c r="B96" s="104" t="s">
        <v>68</v>
      </c>
      <c r="C96" s="9" t="s">
        <v>24</v>
      </c>
      <c r="D96" s="16">
        <v>11600000</v>
      </c>
      <c r="E96" s="17">
        <v>43630</v>
      </c>
      <c r="F96" s="17">
        <v>47831</v>
      </c>
      <c r="G96" s="19" t="s">
        <v>22</v>
      </c>
      <c r="H96" s="20">
        <v>1.4749999999999999E-2</v>
      </c>
      <c r="I96" s="16">
        <v>9963789.4800000004</v>
      </c>
      <c r="J96" s="16">
        <v>818105.26</v>
      </c>
      <c r="K96" s="16">
        <v>0</v>
      </c>
      <c r="L96" s="16">
        <f>I96-J96+K96</f>
        <v>9145684.2200000007</v>
      </c>
      <c r="M96" s="16">
        <v>368137.06</v>
      </c>
      <c r="N96" s="16">
        <v>14975.09</v>
      </c>
      <c r="O96" s="16">
        <f t="shared" ref="O96:O130" si="49">D96-L96</f>
        <v>2454315.7799999993</v>
      </c>
      <c r="P96" s="8" t="s">
        <v>108</v>
      </c>
      <c r="Q96" s="16">
        <v>818105.26</v>
      </c>
      <c r="R96" s="16">
        <v>818105.26</v>
      </c>
      <c r="S96" s="16">
        <v>818105.26</v>
      </c>
      <c r="T96" s="16">
        <v>818105.26</v>
      </c>
      <c r="U96" s="16">
        <v>818105.26</v>
      </c>
      <c r="V96" s="16">
        <v>818105.26</v>
      </c>
      <c r="W96" s="16">
        <v>4237052.66</v>
      </c>
      <c r="X96" s="16"/>
      <c r="Y96" s="16"/>
      <c r="Z96" s="16"/>
      <c r="AI96" s="6">
        <f t="shared" si="12"/>
        <v>1.862645149230957E-9</v>
      </c>
      <c r="AJ96" s="7"/>
    </row>
    <row r="97" spans="2:36" ht="15" customHeight="1" x14ac:dyDescent="0.25">
      <c r="B97" s="105"/>
      <c r="C97" s="9" t="s">
        <v>24</v>
      </c>
      <c r="D97" s="16">
        <v>4700000</v>
      </c>
      <c r="E97" s="17">
        <v>43825</v>
      </c>
      <c r="F97" s="17">
        <v>48025</v>
      </c>
      <c r="G97" s="19" t="s">
        <v>22</v>
      </c>
      <c r="H97" s="20">
        <v>7.0000000000000001E-3</v>
      </c>
      <c r="I97" s="16">
        <v>4202789.4800000004</v>
      </c>
      <c r="J97" s="16">
        <v>331473.68</v>
      </c>
      <c r="K97" s="16">
        <v>0</v>
      </c>
      <c r="L97" s="16">
        <f t="shared" ref="L97:L135" si="50">I97-J97+K97</f>
        <v>3871315.8000000003</v>
      </c>
      <c r="M97" s="16">
        <v>162565.40000000002</v>
      </c>
      <c r="N97" s="16">
        <v>6752.2200000000012</v>
      </c>
      <c r="O97" s="16">
        <f t="shared" si="49"/>
        <v>828684.19999999972</v>
      </c>
      <c r="P97" s="8" t="s">
        <v>101</v>
      </c>
      <c r="Q97" s="16">
        <v>331473.68</v>
      </c>
      <c r="R97" s="16">
        <v>331473.68</v>
      </c>
      <c r="S97" s="16">
        <v>331473.68</v>
      </c>
      <c r="T97" s="16">
        <v>331473.68</v>
      </c>
      <c r="U97" s="16">
        <v>331473.68</v>
      </c>
      <c r="V97" s="16">
        <v>331473.68</v>
      </c>
      <c r="W97" s="16">
        <v>331473.71999999997</v>
      </c>
      <c r="X97" s="16">
        <v>1551000</v>
      </c>
      <c r="Y97" s="16"/>
      <c r="Z97" s="16"/>
      <c r="AI97" s="6">
        <f t="shared" si="12"/>
        <v>-4.6566128730773926E-10</v>
      </c>
      <c r="AJ97" s="7"/>
    </row>
    <row r="98" spans="2:36" ht="15" customHeight="1" x14ac:dyDescent="0.25">
      <c r="B98" s="105"/>
      <c r="C98" s="9" t="s">
        <v>24</v>
      </c>
      <c r="D98" s="16">
        <v>9755000</v>
      </c>
      <c r="E98" s="17">
        <v>43986</v>
      </c>
      <c r="F98" s="17">
        <v>47638</v>
      </c>
      <c r="G98" s="19" t="s">
        <v>20</v>
      </c>
      <c r="H98" s="20">
        <v>0.01</v>
      </c>
      <c r="I98" s="16">
        <v>7829671.0999999996</v>
      </c>
      <c r="J98" s="16">
        <v>770131.56</v>
      </c>
      <c r="K98" s="16">
        <v>0</v>
      </c>
      <c r="L98" s="16">
        <f t="shared" si="50"/>
        <v>7059539.5399999991</v>
      </c>
      <c r="M98" s="16">
        <v>313796.25</v>
      </c>
      <c r="N98" s="16">
        <v>13799.85</v>
      </c>
      <c r="O98" s="16">
        <f t="shared" si="49"/>
        <v>2695460.4600000009</v>
      </c>
      <c r="P98" s="8" t="s">
        <v>102</v>
      </c>
      <c r="Q98" s="16">
        <v>770131.56</v>
      </c>
      <c r="R98" s="16">
        <v>770131.56</v>
      </c>
      <c r="S98" s="16">
        <v>770131.56</v>
      </c>
      <c r="T98" s="16">
        <v>770131.56</v>
      </c>
      <c r="U98" s="16">
        <v>770131.56</v>
      </c>
      <c r="V98" s="16">
        <v>770131.74</v>
      </c>
      <c r="W98" s="16">
        <v>2438750</v>
      </c>
      <c r="X98" s="16"/>
      <c r="Y98" s="16"/>
      <c r="Z98" s="16"/>
      <c r="AI98" s="6">
        <f t="shared" si="12"/>
        <v>-2.7939677238464355E-9</v>
      </c>
      <c r="AJ98" s="7"/>
    </row>
    <row r="99" spans="2:36" ht="15" customHeight="1" x14ac:dyDescent="0.25">
      <c r="B99" s="105"/>
      <c r="C99" s="9" t="s">
        <v>24</v>
      </c>
      <c r="D99" s="16">
        <v>8900000</v>
      </c>
      <c r="E99" s="17">
        <v>44356</v>
      </c>
      <c r="F99" s="17">
        <v>48008</v>
      </c>
      <c r="G99" s="19" t="s">
        <v>20</v>
      </c>
      <c r="H99" s="20">
        <v>3.7499999999999999E-3</v>
      </c>
      <c r="I99" s="16">
        <v>7705526.3300000001</v>
      </c>
      <c r="J99" s="16">
        <v>796315.78</v>
      </c>
      <c r="K99" s="16">
        <v>0</v>
      </c>
      <c r="L99" s="16">
        <f t="shared" si="50"/>
        <v>6909210.5499999998</v>
      </c>
      <c r="M99" s="16">
        <v>261703.47</v>
      </c>
      <c r="N99" s="16">
        <v>12964.14</v>
      </c>
      <c r="O99" s="16">
        <f t="shared" si="49"/>
        <v>1990789.4500000002</v>
      </c>
      <c r="P99" s="8" t="s">
        <v>103</v>
      </c>
      <c r="Q99" s="16">
        <v>796315.78</v>
      </c>
      <c r="R99" s="16">
        <v>796315.78</v>
      </c>
      <c r="S99" s="16">
        <v>796315.78</v>
      </c>
      <c r="T99" s="16">
        <v>796315.78</v>
      </c>
      <c r="U99" s="16">
        <v>796315.78</v>
      </c>
      <c r="V99" s="16">
        <v>796315.78</v>
      </c>
      <c r="W99" s="16">
        <v>796315.87000000011</v>
      </c>
      <c r="X99" s="16">
        <v>1335000</v>
      </c>
      <c r="Y99" s="16"/>
      <c r="Z99" s="16"/>
      <c r="AI99" s="6">
        <f t="shared" si="12"/>
        <v>-1.862645149230957E-9</v>
      </c>
      <c r="AJ99" s="7"/>
    </row>
    <row r="100" spans="2:36" ht="15" customHeight="1" x14ac:dyDescent="0.25">
      <c r="B100" s="105"/>
      <c r="C100" s="9" t="s">
        <v>24</v>
      </c>
      <c r="D100" s="16">
        <v>11400000</v>
      </c>
      <c r="E100" s="17">
        <v>45079</v>
      </c>
      <c r="F100" s="17">
        <v>48732</v>
      </c>
      <c r="G100" s="19" t="s">
        <v>20</v>
      </c>
      <c r="H100" s="20">
        <v>7.6E-3</v>
      </c>
      <c r="I100" s="16"/>
      <c r="J100" s="16">
        <v>480000</v>
      </c>
      <c r="K100" s="16">
        <v>11400000</v>
      </c>
      <c r="L100" s="16">
        <f t="shared" si="50"/>
        <v>10920000</v>
      </c>
      <c r="M100" s="16">
        <v>261122.7</v>
      </c>
      <c r="N100" s="16">
        <v>127516.91</v>
      </c>
      <c r="O100" s="16">
        <f t="shared" si="49"/>
        <v>480000</v>
      </c>
      <c r="P100" s="8" t="s">
        <v>135</v>
      </c>
      <c r="Q100" s="16">
        <v>960000</v>
      </c>
      <c r="R100" s="16">
        <v>960000</v>
      </c>
      <c r="S100" s="16">
        <v>960000</v>
      </c>
      <c r="T100" s="16">
        <v>960000</v>
      </c>
      <c r="U100" s="16">
        <v>960000</v>
      </c>
      <c r="V100" s="16">
        <v>960000</v>
      </c>
      <c r="W100" s="16">
        <v>960000</v>
      </c>
      <c r="X100" s="16">
        <v>960000</v>
      </c>
      <c r="Y100" s="16">
        <v>960000</v>
      </c>
      <c r="Z100" s="16">
        <v>2280000</v>
      </c>
      <c r="AI100" s="6">
        <f t="shared" si="12"/>
        <v>0</v>
      </c>
      <c r="AJ100" s="7"/>
    </row>
    <row r="101" spans="2:36" ht="15" customHeight="1" x14ac:dyDescent="0.25">
      <c r="B101" s="105"/>
      <c r="C101" s="9" t="s">
        <v>23</v>
      </c>
      <c r="D101" s="16">
        <v>12500000</v>
      </c>
      <c r="E101" s="17">
        <v>42521</v>
      </c>
      <c r="F101" s="17">
        <v>46721</v>
      </c>
      <c r="G101" s="19" t="s">
        <v>22</v>
      </c>
      <c r="H101" s="20">
        <v>2.4899999999999999E-2</v>
      </c>
      <c r="I101" s="16">
        <v>9513274.5800000001</v>
      </c>
      <c r="J101" s="16">
        <v>663716.75999999989</v>
      </c>
      <c r="K101" s="16">
        <v>0</v>
      </c>
      <c r="L101" s="16">
        <f t="shared" si="50"/>
        <v>8849557.8200000003</v>
      </c>
      <c r="M101" s="16">
        <v>436475.41</v>
      </c>
      <c r="N101" s="16">
        <v>17459.019999999997</v>
      </c>
      <c r="O101" s="16">
        <f t="shared" si="49"/>
        <v>3650442.1799999997</v>
      </c>
      <c r="P101" s="8" t="s">
        <v>104</v>
      </c>
      <c r="Q101" s="16">
        <v>663716.75999999989</v>
      </c>
      <c r="R101" s="16">
        <v>663716.75999999989</v>
      </c>
      <c r="S101" s="16">
        <v>663716.75999999989</v>
      </c>
      <c r="T101" s="16">
        <v>6858407.54</v>
      </c>
      <c r="U101" s="16"/>
      <c r="V101" s="16"/>
      <c r="W101" s="16"/>
      <c r="X101" s="16"/>
      <c r="Y101" s="16"/>
      <c r="Z101" s="16"/>
      <c r="AI101" s="6">
        <f t="shared" si="12"/>
        <v>9.3132257461547852E-10</v>
      </c>
      <c r="AJ101" s="7"/>
    </row>
    <row r="102" spans="2:36" ht="15" customHeight="1" x14ac:dyDescent="0.25">
      <c r="B102" s="105"/>
      <c r="C102" s="9" t="s">
        <v>41</v>
      </c>
      <c r="D102" s="16">
        <v>6050000</v>
      </c>
      <c r="E102" s="17">
        <v>42528</v>
      </c>
      <c r="F102" s="17">
        <v>46728</v>
      </c>
      <c r="G102" s="19" t="s">
        <v>20</v>
      </c>
      <c r="H102" s="20">
        <v>2.75E-2</v>
      </c>
      <c r="I102" s="16">
        <v>4054921.46</v>
      </c>
      <c r="J102" s="16">
        <v>4054921.46</v>
      </c>
      <c r="K102" s="16">
        <v>0</v>
      </c>
      <c r="L102" s="16">
        <f t="shared" si="50"/>
        <v>0</v>
      </c>
      <c r="M102" s="16">
        <v>107166.88</v>
      </c>
      <c r="N102" s="16">
        <v>124165.78727999999</v>
      </c>
      <c r="O102" s="16">
        <f t="shared" si="49"/>
        <v>6050000</v>
      </c>
      <c r="P102" s="8" t="s">
        <v>105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I102" s="6">
        <f t="shared" si="12"/>
        <v>0</v>
      </c>
      <c r="AJ102" s="7"/>
    </row>
    <row r="103" spans="2:36" ht="15" customHeight="1" x14ac:dyDescent="0.25">
      <c r="B103" s="105"/>
      <c r="C103" s="9" t="s">
        <v>41</v>
      </c>
      <c r="D103" s="16">
        <v>7000000</v>
      </c>
      <c r="E103" s="17">
        <v>42907</v>
      </c>
      <c r="F103" s="17">
        <v>47108</v>
      </c>
      <c r="G103" s="19" t="s">
        <v>20</v>
      </c>
      <c r="H103" s="20">
        <v>2.375E-2</v>
      </c>
      <c r="I103" s="16">
        <v>5256813.9400000004</v>
      </c>
      <c r="J103" s="16">
        <v>498053.16</v>
      </c>
      <c r="K103" s="16">
        <v>0</v>
      </c>
      <c r="L103" s="16">
        <f t="shared" si="50"/>
        <v>4758760.78</v>
      </c>
      <c r="M103" s="16">
        <v>273335.28999999998</v>
      </c>
      <c r="N103" s="16">
        <v>10970.86</v>
      </c>
      <c r="O103" s="16">
        <f t="shared" si="49"/>
        <v>2241239.2199999997</v>
      </c>
      <c r="P103" s="8" t="s">
        <v>106</v>
      </c>
      <c r="Q103" s="16">
        <v>498053.16</v>
      </c>
      <c r="R103" s="16">
        <v>498053.16</v>
      </c>
      <c r="S103" s="16">
        <v>498053.16</v>
      </c>
      <c r="T103" s="16">
        <v>498053.16</v>
      </c>
      <c r="U103" s="16">
        <v>2766548.14</v>
      </c>
      <c r="V103" s="16"/>
      <c r="W103" s="16"/>
      <c r="X103" s="16"/>
      <c r="Y103" s="16"/>
      <c r="Z103" s="16"/>
      <c r="AI103" s="6">
        <f t="shared" si="12"/>
        <v>-4.6566128730773926E-10</v>
      </c>
      <c r="AJ103" s="7"/>
    </row>
    <row r="104" spans="2:36" ht="15" customHeight="1" x14ac:dyDescent="0.25">
      <c r="B104" s="105"/>
      <c r="C104" s="9" t="s">
        <v>41</v>
      </c>
      <c r="D104" s="16">
        <v>3262500.06</v>
      </c>
      <c r="E104" s="17">
        <v>43257</v>
      </c>
      <c r="F104" s="17">
        <v>45632</v>
      </c>
      <c r="G104" s="19" t="s">
        <v>20</v>
      </c>
      <c r="H104" s="20">
        <v>1.7500000000000002E-2</v>
      </c>
      <c r="I104" s="16">
        <v>2283750.06</v>
      </c>
      <c r="J104" s="16">
        <v>326250</v>
      </c>
      <c r="K104" s="16">
        <v>0</v>
      </c>
      <c r="L104" s="16">
        <f t="shared" si="50"/>
        <v>1957500.06</v>
      </c>
      <c r="M104" s="16">
        <v>102284.74</v>
      </c>
      <c r="N104" s="16">
        <v>4128.84</v>
      </c>
      <c r="O104" s="16">
        <f t="shared" si="49"/>
        <v>1305000</v>
      </c>
      <c r="P104" s="8" t="s">
        <v>107</v>
      </c>
      <c r="Q104" s="16">
        <v>1957500.06</v>
      </c>
      <c r="R104" s="16"/>
      <c r="S104" s="16"/>
      <c r="T104" s="16"/>
      <c r="U104" s="16"/>
      <c r="V104" s="16"/>
      <c r="W104" s="16"/>
      <c r="X104" s="16"/>
      <c r="Y104" s="16"/>
      <c r="Z104" s="16"/>
      <c r="AI104" s="6">
        <f t="shared" si="12"/>
        <v>0</v>
      </c>
      <c r="AJ104" s="7"/>
    </row>
    <row r="105" spans="2:36" ht="15" customHeight="1" x14ac:dyDescent="0.25">
      <c r="B105" s="105"/>
      <c r="C105" s="9" t="s">
        <v>41</v>
      </c>
      <c r="D105" s="16">
        <v>5637499.9400000004</v>
      </c>
      <c r="E105" s="17">
        <v>43257</v>
      </c>
      <c r="F105" s="17">
        <v>45632</v>
      </c>
      <c r="G105" s="19" t="s">
        <v>20</v>
      </c>
      <c r="H105" s="20">
        <v>1.7500000000000002E-2</v>
      </c>
      <c r="I105" s="16">
        <v>4071527.8400000008</v>
      </c>
      <c r="J105" s="16">
        <v>626388.84</v>
      </c>
      <c r="K105" s="16">
        <v>0</v>
      </c>
      <c r="L105" s="16">
        <f t="shared" si="50"/>
        <v>3445139.0000000009</v>
      </c>
      <c r="M105" s="16">
        <v>181289.15999999997</v>
      </c>
      <c r="N105" s="16">
        <v>7288.9999999999991</v>
      </c>
      <c r="O105" s="16">
        <f t="shared" si="49"/>
        <v>2192360.9399999995</v>
      </c>
      <c r="P105" s="8" t="s">
        <v>107</v>
      </c>
      <c r="Q105" s="16">
        <v>3445139</v>
      </c>
      <c r="R105" s="16"/>
      <c r="S105" s="16"/>
      <c r="T105" s="16"/>
      <c r="U105" s="16"/>
      <c r="V105" s="16"/>
      <c r="W105" s="16"/>
      <c r="X105" s="16"/>
      <c r="Y105" s="16"/>
      <c r="Z105" s="16"/>
      <c r="AI105" s="6">
        <f t="shared" si="12"/>
        <v>9.3132257461547852E-10</v>
      </c>
      <c r="AJ105" s="7"/>
    </row>
    <row r="106" spans="2:36" ht="15" customHeight="1" x14ac:dyDescent="0.25">
      <c r="B106" s="105"/>
      <c r="C106" s="9" t="s">
        <v>46</v>
      </c>
      <c r="D106" s="16">
        <v>1766000</v>
      </c>
      <c r="E106" s="17">
        <v>43075</v>
      </c>
      <c r="F106" s="17">
        <v>47244</v>
      </c>
      <c r="G106" s="19" t="s">
        <v>22</v>
      </c>
      <c r="H106" s="20">
        <v>1.9E-2</v>
      </c>
      <c r="I106" s="16">
        <v>1172865.6299999999</v>
      </c>
      <c r="J106" s="16">
        <v>159394.07</v>
      </c>
      <c r="K106" s="16">
        <v>0</v>
      </c>
      <c r="L106" s="16">
        <f t="shared" si="50"/>
        <v>1013471.5599999998</v>
      </c>
      <c r="M106" s="16">
        <v>52029.579999999994</v>
      </c>
      <c r="N106" s="16">
        <v>2081.19</v>
      </c>
      <c r="O106" s="16">
        <f t="shared" si="49"/>
        <v>752528.44000000018</v>
      </c>
      <c r="P106" s="8" t="s">
        <v>109</v>
      </c>
      <c r="Q106" s="16">
        <v>162640.71999999997</v>
      </c>
      <c r="R106" s="16">
        <v>173694.12</v>
      </c>
      <c r="S106" s="16">
        <v>184044.5</v>
      </c>
      <c r="T106" s="16">
        <v>195011.65999999995</v>
      </c>
      <c r="U106" s="16">
        <v>206632.38000000003</v>
      </c>
      <c r="V106" s="16">
        <v>91448.180000000008</v>
      </c>
      <c r="W106" s="16"/>
      <c r="X106" s="16"/>
      <c r="Y106" s="16"/>
      <c r="Z106" s="16"/>
      <c r="AI106" s="6">
        <f t="shared" si="12"/>
        <v>-1.0186340659856796E-10</v>
      </c>
      <c r="AJ106" s="7"/>
    </row>
    <row r="107" spans="2:36" ht="15" customHeight="1" x14ac:dyDescent="0.25">
      <c r="B107" s="105"/>
      <c r="C107" s="9" t="s">
        <v>46</v>
      </c>
      <c r="D107" s="16">
        <v>4000000</v>
      </c>
      <c r="E107" s="17">
        <v>43417</v>
      </c>
      <c r="F107" s="17">
        <v>47586</v>
      </c>
      <c r="G107" s="19" t="s">
        <v>22</v>
      </c>
      <c r="H107" s="20">
        <v>1.7500000000000002E-2</v>
      </c>
      <c r="I107" s="16">
        <v>3006565.85</v>
      </c>
      <c r="J107" s="16">
        <v>351859.8</v>
      </c>
      <c r="K107" s="16">
        <v>0</v>
      </c>
      <c r="L107" s="16">
        <f t="shared" si="50"/>
        <v>2654706.0500000003</v>
      </c>
      <c r="M107" s="16">
        <v>128045.9</v>
      </c>
      <c r="N107" s="16">
        <v>5121.8300000000008</v>
      </c>
      <c r="O107" s="16">
        <f t="shared" si="49"/>
        <v>1345293.9499999997</v>
      </c>
      <c r="P107" s="8" t="s">
        <v>110</v>
      </c>
      <c r="Q107" s="16">
        <v>354109.82999999996</v>
      </c>
      <c r="R107" s="16">
        <v>379269.50000000006</v>
      </c>
      <c r="S107" s="16">
        <v>401246.61</v>
      </c>
      <c r="T107" s="16">
        <v>424497.21000000008</v>
      </c>
      <c r="U107" s="16">
        <v>449095.1</v>
      </c>
      <c r="V107" s="16">
        <v>475118.27999999997</v>
      </c>
      <c r="W107" s="16">
        <v>171369.52</v>
      </c>
      <c r="X107" s="16"/>
      <c r="Y107" s="16"/>
      <c r="Z107" s="16"/>
      <c r="AI107" s="6">
        <f t="shared" si="12"/>
        <v>4.3655745685100555E-10</v>
      </c>
      <c r="AJ107" s="7"/>
    </row>
    <row r="108" spans="2:36" ht="15" customHeight="1" x14ac:dyDescent="0.25">
      <c r="B108" s="105"/>
      <c r="C108" s="9" t="s">
        <v>46</v>
      </c>
      <c r="D108" s="16">
        <v>60000000</v>
      </c>
      <c r="E108" s="17">
        <v>45079</v>
      </c>
      <c r="F108" s="17">
        <v>46175</v>
      </c>
      <c r="G108" s="19" t="s">
        <v>20</v>
      </c>
      <c r="H108" s="20">
        <v>7.0000000000000001E-3</v>
      </c>
      <c r="I108" s="16"/>
      <c r="J108" s="16"/>
      <c r="K108" s="16">
        <v>60000000</v>
      </c>
      <c r="L108" s="16">
        <f t="shared" si="50"/>
        <v>60000000</v>
      </c>
      <c r="M108" s="16">
        <v>1348405</v>
      </c>
      <c r="N108" s="16">
        <v>541136.19999999995</v>
      </c>
      <c r="O108" s="16">
        <f t="shared" si="49"/>
        <v>0</v>
      </c>
      <c r="P108" s="8" t="s">
        <v>136</v>
      </c>
      <c r="Q108" s="16"/>
      <c r="R108" s="16"/>
      <c r="S108" s="16">
        <v>60000000</v>
      </c>
      <c r="T108" s="16"/>
      <c r="U108" s="16"/>
      <c r="V108" s="16"/>
      <c r="W108" s="16"/>
      <c r="X108" s="16"/>
      <c r="Y108" s="16"/>
      <c r="Z108" s="16"/>
      <c r="AI108" s="6">
        <f t="shared" si="12"/>
        <v>0</v>
      </c>
      <c r="AJ108" s="7"/>
    </row>
    <row r="109" spans="2:36" ht="15" customHeight="1" x14ac:dyDescent="0.25">
      <c r="B109" s="105"/>
      <c r="C109" s="9" t="s">
        <v>25</v>
      </c>
      <c r="D109" s="16">
        <v>7100000</v>
      </c>
      <c r="E109" s="17">
        <v>44690</v>
      </c>
      <c r="F109" s="17">
        <v>48343</v>
      </c>
      <c r="G109" s="19" t="s">
        <v>20</v>
      </c>
      <c r="H109" s="20">
        <v>7.4999999999999997E-3</v>
      </c>
      <c r="I109" s="16">
        <v>7100000</v>
      </c>
      <c r="J109" s="16">
        <v>552222.22</v>
      </c>
      <c r="K109" s="16">
        <v>0</v>
      </c>
      <c r="L109" s="16">
        <f t="shared" si="50"/>
        <v>6547777.7800000003</v>
      </c>
      <c r="M109" s="16">
        <v>229354.17</v>
      </c>
      <c r="N109" s="16">
        <v>11344.306799999998</v>
      </c>
      <c r="O109" s="16">
        <f t="shared" si="49"/>
        <v>552222.21999999974</v>
      </c>
      <c r="P109" s="8" t="s">
        <v>111</v>
      </c>
      <c r="Q109" s="16">
        <v>552222.22</v>
      </c>
      <c r="R109" s="16">
        <v>552222.22</v>
      </c>
      <c r="S109" s="16">
        <v>552222.22</v>
      </c>
      <c r="T109" s="16">
        <v>552222.22</v>
      </c>
      <c r="U109" s="16">
        <v>552222.22</v>
      </c>
      <c r="V109" s="16">
        <v>552222.22</v>
      </c>
      <c r="W109" s="16">
        <v>552222.22</v>
      </c>
      <c r="X109" s="16">
        <v>552222.22</v>
      </c>
      <c r="Y109" s="16">
        <v>2130000.02</v>
      </c>
      <c r="Z109" s="16"/>
      <c r="AI109" s="6">
        <f t="shared" si="12"/>
        <v>2.3283064365386963E-9</v>
      </c>
      <c r="AJ109" s="7"/>
    </row>
    <row r="110" spans="2:36" ht="15" customHeight="1" x14ac:dyDescent="0.25">
      <c r="B110" s="105"/>
      <c r="C110" s="9" t="s">
        <v>29</v>
      </c>
      <c r="D110" s="16">
        <v>7100000</v>
      </c>
      <c r="E110" s="17">
        <v>44690</v>
      </c>
      <c r="F110" s="17">
        <v>48343</v>
      </c>
      <c r="G110" s="19" t="s">
        <v>20</v>
      </c>
      <c r="H110" s="20">
        <v>7.4999999999999997E-3</v>
      </c>
      <c r="I110" s="16">
        <v>7100000</v>
      </c>
      <c r="J110" s="16">
        <v>552222.22</v>
      </c>
      <c r="K110" s="16">
        <v>0</v>
      </c>
      <c r="L110" s="16">
        <f t="shared" si="50"/>
        <v>6547777.7800000003</v>
      </c>
      <c r="M110" s="16">
        <v>229354.17</v>
      </c>
      <c r="N110" s="16">
        <v>11344.306799999998</v>
      </c>
      <c r="O110" s="16">
        <f t="shared" si="49"/>
        <v>552222.21999999974</v>
      </c>
      <c r="P110" s="8" t="s">
        <v>111</v>
      </c>
      <c r="Q110" s="16">
        <v>552222.22</v>
      </c>
      <c r="R110" s="16">
        <v>552222.22</v>
      </c>
      <c r="S110" s="16">
        <v>552222.22</v>
      </c>
      <c r="T110" s="16">
        <v>552222.22</v>
      </c>
      <c r="U110" s="16">
        <v>552222.22</v>
      </c>
      <c r="V110" s="16">
        <v>552222.22</v>
      </c>
      <c r="W110" s="16">
        <v>552222.22</v>
      </c>
      <c r="X110" s="16">
        <v>552222.22</v>
      </c>
      <c r="Y110" s="16">
        <v>2130000.02</v>
      </c>
      <c r="Z110" s="16"/>
      <c r="AI110" s="6">
        <f t="shared" si="12"/>
        <v>2.3283064365386963E-9</v>
      </c>
      <c r="AJ110" s="7"/>
    </row>
    <row r="111" spans="2:36" ht="15" customHeight="1" x14ac:dyDescent="0.25">
      <c r="B111" s="105"/>
      <c r="C111" s="9" t="s">
        <v>100</v>
      </c>
      <c r="D111" s="16">
        <v>2618854.75</v>
      </c>
      <c r="E111" s="17">
        <v>38952</v>
      </c>
      <c r="F111" s="17">
        <v>45290</v>
      </c>
      <c r="G111" s="101">
        <v>2E-3</v>
      </c>
      <c r="H111" s="101"/>
      <c r="I111" s="16">
        <v>928171.87000000011</v>
      </c>
      <c r="J111" s="16">
        <v>928171.87</v>
      </c>
      <c r="K111" s="16">
        <v>0</v>
      </c>
      <c r="L111" s="16">
        <f t="shared" si="50"/>
        <v>1.1641532182693481E-10</v>
      </c>
      <c r="M111" s="16">
        <v>452.26</v>
      </c>
      <c r="N111" s="16">
        <v>0</v>
      </c>
      <c r="O111" s="16">
        <f t="shared" si="49"/>
        <v>2618854.75</v>
      </c>
      <c r="P111" s="8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I111" s="6">
        <f t="shared" si="12"/>
        <v>1.1641532182693481E-10</v>
      </c>
      <c r="AJ111" s="7"/>
    </row>
    <row r="112" spans="2:36" ht="15.75" customHeight="1" x14ac:dyDescent="0.25">
      <c r="B112" s="23"/>
      <c r="C112" s="24" t="s">
        <v>47</v>
      </c>
      <c r="D112" s="25">
        <f>SUM(D96:D111)</f>
        <v>163389854.75</v>
      </c>
      <c r="E112" s="23"/>
      <c r="F112" s="54"/>
      <c r="G112" s="55"/>
      <c r="H112" s="56"/>
      <c r="I112" s="33">
        <f t="shared" ref="I112:O112" si="51">SUM(I96:I111)</f>
        <v>74189667.620000005</v>
      </c>
      <c r="J112" s="33">
        <f t="shared" si="51"/>
        <v>11909226.680000002</v>
      </c>
      <c r="K112" s="33">
        <f t="shared" si="51"/>
        <v>71400000</v>
      </c>
      <c r="L112" s="33">
        <f t="shared" si="51"/>
        <v>133680440.94</v>
      </c>
      <c r="M112" s="33">
        <f t="shared" si="51"/>
        <v>4455517.4400000004</v>
      </c>
      <c r="N112" s="33">
        <f t="shared" si="51"/>
        <v>911049.55088</v>
      </c>
      <c r="O112" s="33">
        <f t="shared" si="51"/>
        <v>29709413.809999995</v>
      </c>
      <c r="P112" s="23"/>
      <c r="Q112" s="33">
        <f t="shared" ref="Q112:Z112" si="52">SUM(Q96:Q111)</f>
        <v>11861630.250000002</v>
      </c>
      <c r="R112" s="33">
        <f t="shared" si="52"/>
        <v>6495204.2599999998</v>
      </c>
      <c r="S112" s="33">
        <f t="shared" si="52"/>
        <v>66527531.75</v>
      </c>
      <c r="T112" s="33">
        <f t="shared" si="52"/>
        <v>12756440.290000003</v>
      </c>
      <c r="U112" s="33">
        <f t="shared" si="52"/>
        <v>8202746.3399999989</v>
      </c>
      <c r="V112" s="33">
        <f t="shared" si="52"/>
        <v>5347037.3599999994</v>
      </c>
      <c r="W112" s="33">
        <f t="shared" si="52"/>
        <v>10039406.210000001</v>
      </c>
      <c r="X112" s="25">
        <f t="shared" si="52"/>
        <v>4950444.4399999995</v>
      </c>
      <c r="Y112" s="25">
        <f t="shared" si="52"/>
        <v>5220000.04</v>
      </c>
      <c r="Z112" s="25">
        <f t="shared" si="52"/>
        <v>2280000</v>
      </c>
      <c r="AA112" s="25"/>
      <c r="AB112" s="25"/>
      <c r="AC112" s="25"/>
      <c r="AD112" s="25"/>
      <c r="AE112" s="25"/>
      <c r="AF112" s="25"/>
      <c r="AG112" s="25"/>
      <c r="AH112" s="25"/>
      <c r="AI112" s="6">
        <f t="shared" si="12"/>
        <v>-1.3969838619232178E-8</v>
      </c>
      <c r="AJ112" s="7"/>
    </row>
    <row r="113" spans="2:36" ht="15" customHeight="1" x14ac:dyDescent="0.25">
      <c r="B113" s="98" t="s">
        <v>69</v>
      </c>
      <c r="C113" s="9" t="s">
        <v>24</v>
      </c>
      <c r="D113" s="16">
        <v>5000000</v>
      </c>
      <c r="E113" s="17">
        <v>43915</v>
      </c>
      <c r="F113" s="17">
        <v>49393</v>
      </c>
      <c r="G113" s="99" t="s">
        <v>147</v>
      </c>
      <c r="H113" s="99"/>
      <c r="I113" s="16">
        <v>4298246.1900000107</v>
      </c>
      <c r="J113" s="16">
        <v>350877.24000000005</v>
      </c>
      <c r="K113" s="16">
        <v>0</v>
      </c>
      <c r="L113" s="16">
        <f t="shared" si="50"/>
        <v>3947368.9500000104</v>
      </c>
      <c r="M113" s="16">
        <v>41946.88671250012</v>
      </c>
      <c r="N113" s="16">
        <v>240</v>
      </c>
      <c r="O113" s="16">
        <f t="shared" si="49"/>
        <v>1052631.0499999896</v>
      </c>
      <c r="P113" s="8" t="s">
        <v>112</v>
      </c>
      <c r="Q113" s="16">
        <v>350877.24000000005</v>
      </c>
      <c r="R113" s="16">
        <v>350877.24000000005</v>
      </c>
      <c r="S113" s="16">
        <v>350877.24000000005</v>
      </c>
      <c r="T113" s="16">
        <v>350877.24000000005</v>
      </c>
      <c r="U113" s="16">
        <v>350877.24000000005</v>
      </c>
      <c r="V113" s="16">
        <v>350877.24000000005</v>
      </c>
      <c r="W113" s="16">
        <v>350877.24000000005</v>
      </c>
      <c r="X113" s="16">
        <v>350877.24000000005</v>
      </c>
      <c r="Y113" s="16">
        <v>350877.24000000005</v>
      </c>
      <c r="Z113" s="16">
        <v>350877.24000000005</v>
      </c>
      <c r="AA113" s="16">
        <v>350877.24000000005</v>
      </c>
      <c r="AB113" s="16">
        <v>87719.31</v>
      </c>
      <c r="AC113" s="16"/>
      <c r="AD113" s="16"/>
      <c r="AI113" s="6">
        <f t="shared" si="12"/>
        <v>9.2550180852413177E-9</v>
      </c>
      <c r="AJ113" s="7"/>
    </row>
    <row r="114" spans="2:36" ht="15" customHeight="1" x14ac:dyDescent="0.25">
      <c r="B114" s="98"/>
      <c r="C114" s="9" t="s">
        <v>24</v>
      </c>
      <c r="D114" s="16">
        <v>8520000</v>
      </c>
      <c r="E114" s="17">
        <v>44334</v>
      </c>
      <c r="F114" s="17">
        <v>49813</v>
      </c>
      <c r="G114" s="99" t="s">
        <v>148</v>
      </c>
      <c r="H114" s="99"/>
      <c r="I114" s="16">
        <v>7929018.1559537612</v>
      </c>
      <c r="J114" s="16">
        <v>590982.71895953757</v>
      </c>
      <c r="K114" s="16">
        <v>0</v>
      </c>
      <c r="L114" s="16">
        <f t="shared" si="50"/>
        <v>7338035.4369942239</v>
      </c>
      <c r="M114" s="16">
        <v>73371.428064306776</v>
      </c>
      <c r="N114" s="16">
        <v>240</v>
      </c>
      <c r="O114" s="16">
        <f t="shared" si="49"/>
        <v>1181964.5630057761</v>
      </c>
      <c r="P114" s="8" t="s">
        <v>113</v>
      </c>
      <c r="Q114" s="16">
        <v>590982.71895953757</v>
      </c>
      <c r="R114" s="16">
        <v>590982.71895953757</v>
      </c>
      <c r="S114" s="16">
        <v>590982.71895953757</v>
      </c>
      <c r="T114" s="16">
        <v>590982.71895953757</v>
      </c>
      <c r="U114" s="16">
        <v>590982.71895953757</v>
      </c>
      <c r="V114" s="16">
        <v>590982.71895953757</v>
      </c>
      <c r="W114" s="16">
        <v>590982.71895953757</v>
      </c>
      <c r="X114" s="16">
        <v>590982.71895953757</v>
      </c>
      <c r="Y114" s="16">
        <v>590982.71895953757</v>
      </c>
      <c r="Z114" s="16">
        <v>590982.71895953757</v>
      </c>
      <c r="AA114" s="16">
        <v>590982.71895953757</v>
      </c>
      <c r="AB114" s="16">
        <v>590982.71895953757</v>
      </c>
      <c r="AC114" s="16">
        <v>246242.80456647399</v>
      </c>
      <c r="AD114" s="16"/>
      <c r="AI114" s="6">
        <f t="shared" si="12"/>
        <v>4.9133009160868824E-3</v>
      </c>
      <c r="AJ114" s="7"/>
    </row>
    <row r="115" spans="2:36" ht="15" customHeight="1" x14ac:dyDescent="0.25">
      <c r="B115" s="98"/>
      <c r="C115" s="9" t="s">
        <v>29</v>
      </c>
      <c r="D115" s="16">
        <v>4600000</v>
      </c>
      <c r="E115" s="17">
        <v>44686</v>
      </c>
      <c r="F115" s="17">
        <v>50165</v>
      </c>
      <c r="G115" s="99" t="s">
        <v>149</v>
      </c>
      <c r="H115" s="99"/>
      <c r="I115" s="16">
        <v>3388349.35</v>
      </c>
      <c r="J115" s="16">
        <v>235029.96000000008</v>
      </c>
      <c r="K115" s="16">
        <v>0</v>
      </c>
      <c r="L115" s="16">
        <f t="shared" si="50"/>
        <v>3153319.39</v>
      </c>
      <c r="M115" s="16">
        <v>87555.578090209718</v>
      </c>
      <c r="N115" s="16">
        <v>121.66666666666666</v>
      </c>
      <c r="O115" s="16">
        <f t="shared" si="49"/>
        <v>1446680.6099999999</v>
      </c>
      <c r="P115" s="8" t="s">
        <v>121</v>
      </c>
      <c r="Q115" s="16">
        <v>235029.96000000008</v>
      </c>
      <c r="R115" s="16">
        <v>235029.96000000008</v>
      </c>
      <c r="S115" s="16">
        <v>235029.96000000008</v>
      </c>
      <c r="T115" s="16">
        <v>235029.96000000008</v>
      </c>
      <c r="U115" s="16">
        <v>235029.96000000008</v>
      </c>
      <c r="V115" s="16">
        <v>235029.96000000008</v>
      </c>
      <c r="W115" s="16">
        <v>235029.96000000008</v>
      </c>
      <c r="X115" s="16">
        <v>235029.96000000008</v>
      </c>
      <c r="Y115" s="16">
        <v>235029.96000000008</v>
      </c>
      <c r="Z115" s="16">
        <v>235029.96000000008</v>
      </c>
      <c r="AA115" s="16">
        <v>235029.96000000008</v>
      </c>
      <c r="AB115" s="16">
        <v>235029.96000000008</v>
      </c>
      <c r="AC115" s="16">
        <v>235029.96000000008</v>
      </c>
      <c r="AD115" s="16">
        <v>97929.91</v>
      </c>
      <c r="AI115" s="6">
        <f t="shared" si="12"/>
        <v>2.9103830456733704E-11</v>
      </c>
      <c r="AJ115" s="7"/>
    </row>
    <row r="116" spans="2:36" ht="15" customHeight="1" x14ac:dyDescent="0.25">
      <c r="B116" s="98"/>
      <c r="C116" s="9" t="s">
        <v>26</v>
      </c>
      <c r="D116" s="16">
        <v>200000</v>
      </c>
      <c r="E116" s="17">
        <v>40906</v>
      </c>
      <c r="F116" s="17">
        <v>46388</v>
      </c>
      <c r="G116" s="19" t="s">
        <v>20</v>
      </c>
      <c r="H116" s="20">
        <v>0.02</v>
      </c>
      <c r="I116" s="16">
        <v>71552.868003366631</v>
      </c>
      <c r="J116" s="16">
        <v>16199.020325104128</v>
      </c>
      <c r="K116" s="16">
        <v>0</v>
      </c>
      <c r="L116" s="16">
        <f t="shared" si="50"/>
        <v>55353.847678262508</v>
      </c>
      <c r="M116" s="16">
        <v>3180.6500280995251</v>
      </c>
      <c r="N116" s="16">
        <v>240</v>
      </c>
      <c r="O116" s="16">
        <f t="shared" si="49"/>
        <v>144646.15232173749</v>
      </c>
      <c r="P116" s="8"/>
      <c r="Q116" s="16">
        <v>16851.273954323737</v>
      </c>
      <c r="R116" s="16">
        <v>17885.58001864345</v>
      </c>
      <c r="S116" s="16">
        <v>18983.437679115308</v>
      </c>
      <c r="T116" s="16">
        <v>1633.5910261799893</v>
      </c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I116" s="6">
        <f t="shared" si="12"/>
        <v>-3.4999999980072971E-2</v>
      </c>
      <c r="AJ116" s="7"/>
    </row>
    <row r="117" spans="2:36" ht="15" customHeight="1" x14ac:dyDescent="0.25">
      <c r="B117" s="98"/>
      <c r="C117" s="9" t="s">
        <v>43</v>
      </c>
      <c r="D117" s="16">
        <v>4000000</v>
      </c>
      <c r="E117" s="17">
        <v>45068</v>
      </c>
      <c r="F117" s="17">
        <v>47625</v>
      </c>
      <c r="G117" s="19" t="s">
        <v>36</v>
      </c>
      <c r="H117" s="20">
        <v>6.4000000000000003E-3</v>
      </c>
      <c r="I117" s="16"/>
      <c r="J117" s="16"/>
      <c r="K117" s="16">
        <v>4000000</v>
      </c>
      <c r="L117" s="16">
        <f t="shared" si="50"/>
        <v>4000000</v>
      </c>
      <c r="M117" s="16">
        <v>96669.999999999985</v>
      </c>
      <c r="N117" s="16">
        <v>0</v>
      </c>
      <c r="O117" s="16">
        <f t="shared" si="49"/>
        <v>0</v>
      </c>
      <c r="P117" s="8" t="s">
        <v>137</v>
      </c>
      <c r="Q117" s="16">
        <v>623376.62337662338</v>
      </c>
      <c r="R117" s="16">
        <v>623376.62337662338</v>
      </c>
      <c r="S117" s="16">
        <v>623376.62337662338</v>
      </c>
      <c r="T117" s="16">
        <v>623376.62337662338</v>
      </c>
      <c r="U117" s="16">
        <v>623376.62337662338</v>
      </c>
      <c r="V117" s="16">
        <v>623376.62337662338</v>
      </c>
      <c r="W117" s="16">
        <v>259740.25974025976</v>
      </c>
      <c r="X117" s="16"/>
      <c r="Y117" s="16"/>
      <c r="Z117" s="16"/>
      <c r="AA117" s="16"/>
      <c r="AB117" s="16"/>
      <c r="AC117" s="16"/>
      <c r="AD117" s="16"/>
      <c r="AI117" s="6">
        <f t="shared" si="12"/>
        <v>4.3655745685100555E-10</v>
      </c>
      <c r="AJ117" s="7"/>
    </row>
    <row r="118" spans="2:36" ht="15" customHeight="1" x14ac:dyDescent="0.25">
      <c r="B118" s="98"/>
      <c r="C118" s="9" t="s">
        <v>29</v>
      </c>
      <c r="D118" s="16">
        <v>1700000</v>
      </c>
      <c r="E118" s="17">
        <v>45065</v>
      </c>
      <c r="F118" s="17">
        <v>48718</v>
      </c>
      <c r="G118" s="19" t="s">
        <v>55</v>
      </c>
      <c r="H118" s="20">
        <v>8.0000000000000002E-3</v>
      </c>
      <c r="I118" s="16"/>
      <c r="J118" s="16"/>
      <c r="K118" s="16">
        <v>1700000</v>
      </c>
      <c r="L118" s="16">
        <f t="shared" si="50"/>
        <v>1700000</v>
      </c>
      <c r="M118" s="16">
        <v>34832.401388888888</v>
      </c>
      <c r="N118" s="16">
        <v>9207.3838888888877</v>
      </c>
      <c r="O118" s="16">
        <f t="shared" si="49"/>
        <v>0</v>
      </c>
      <c r="P118" s="8" t="s">
        <v>138</v>
      </c>
      <c r="Q118" s="16">
        <v>180531</v>
      </c>
      <c r="R118" s="16">
        <v>180531</v>
      </c>
      <c r="S118" s="16">
        <v>180531</v>
      </c>
      <c r="T118" s="16">
        <v>180531</v>
      </c>
      <c r="U118" s="16">
        <v>180531</v>
      </c>
      <c r="V118" s="16">
        <v>180531</v>
      </c>
      <c r="W118" s="16">
        <v>180531</v>
      </c>
      <c r="X118" s="16">
        <v>180531</v>
      </c>
      <c r="Y118" s="16">
        <v>180531</v>
      </c>
      <c r="Z118" s="16">
        <v>75221</v>
      </c>
      <c r="AA118" s="16"/>
      <c r="AB118" s="16"/>
      <c r="AC118" s="16"/>
      <c r="AD118" s="16"/>
      <c r="AI118" s="6">
        <f t="shared" si="12"/>
        <v>0</v>
      </c>
      <c r="AJ118" s="7"/>
    </row>
    <row r="119" spans="2:36" ht="15" customHeight="1" x14ac:dyDescent="0.25">
      <c r="B119" s="98"/>
      <c r="C119" s="9" t="s">
        <v>23</v>
      </c>
      <c r="D119" s="16">
        <v>1500000</v>
      </c>
      <c r="E119" s="17">
        <v>39280</v>
      </c>
      <c r="F119" s="17">
        <v>48412</v>
      </c>
      <c r="G119" s="19" t="s">
        <v>55</v>
      </c>
      <c r="H119" s="20">
        <v>2.75E-2</v>
      </c>
      <c r="I119" s="16">
        <v>681535.19408317294</v>
      </c>
      <c r="J119" s="16">
        <v>55277.758158555618</v>
      </c>
      <c r="K119" s="16">
        <v>0</v>
      </c>
      <c r="L119" s="16">
        <f t="shared" si="50"/>
        <v>626257.43592461734</v>
      </c>
      <c r="M119" s="16">
        <v>36701.295031755682</v>
      </c>
      <c r="N119" s="16">
        <v>0</v>
      </c>
      <c r="O119" s="16">
        <f t="shared" si="49"/>
        <v>873742.56407538266</v>
      </c>
      <c r="P119" s="8"/>
      <c r="Q119" s="16">
        <v>56919.007763188369</v>
      </c>
      <c r="R119" s="16">
        <v>60647.962452442815</v>
      </c>
      <c r="S119" s="16">
        <v>64532.897654648579</v>
      </c>
      <c r="T119" s="16">
        <v>68666.690706566471</v>
      </c>
      <c r="U119" s="16">
        <v>73065.282731056999</v>
      </c>
      <c r="V119" s="16">
        <v>77745.635993766904</v>
      </c>
      <c r="W119" s="16">
        <v>82725.799314618838</v>
      </c>
      <c r="X119" s="16">
        <v>88024.977669373737</v>
      </c>
      <c r="Y119" s="16">
        <v>53929.196638954934</v>
      </c>
      <c r="Z119" s="16"/>
      <c r="AA119" s="16"/>
      <c r="AB119" s="16"/>
      <c r="AC119" s="16"/>
      <c r="AD119" s="16"/>
      <c r="AI119" s="6">
        <f t="shared" si="12"/>
        <v>-1.5000000232248567E-2</v>
      </c>
      <c r="AJ119" s="7"/>
    </row>
    <row r="120" spans="2:36" ht="15.75" customHeight="1" x14ac:dyDescent="0.25">
      <c r="B120" s="23"/>
      <c r="C120" s="24" t="s">
        <v>47</v>
      </c>
      <c r="D120" s="25">
        <f>SUM(D113:D119)</f>
        <v>25520000</v>
      </c>
      <c r="E120" s="23"/>
      <c r="F120" s="54"/>
      <c r="G120" s="55"/>
      <c r="H120" s="56"/>
      <c r="I120" s="33">
        <f t="shared" ref="I120:O120" si="53">SUM(I113:I119)</f>
        <v>16368701.758040311</v>
      </c>
      <c r="J120" s="33">
        <f t="shared" si="53"/>
        <v>1248366.6974431975</v>
      </c>
      <c r="K120" s="33">
        <f t="shared" si="53"/>
        <v>5700000</v>
      </c>
      <c r="L120" s="33">
        <f t="shared" si="53"/>
        <v>20820335.060597114</v>
      </c>
      <c r="M120" s="33">
        <f t="shared" si="53"/>
        <v>374258.23931576073</v>
      </c>
      <c r="N120" s="33">
        <f t="shared" si="53"/>
        <v>10049.050555555554</v>
      </c>
      <c r="O120" s="33">
        <f t="shared" si="53"/>
        <v>4699664.9394028857</v>
      </c>
      <c r="P120" s="23"/>
      <c r="Q120" s="33">
        <f t="shared" ref="Q120:AD120" si="54">SUM(Q113:Q119)</f>
        <v>2054567.8240536731</v>
      </c>
      <c r="R120" s="33">
        <f t="shared" si="54"/>
        <v>2059331.0848072474</v>
      </c>
      <c r="S120" s="33">
        <f t="shared" si="54"/>
        <v>2064313.8776699246</v>
      </c>
      <c r="T120" s="33">
        <f t="shared" si="54"/>
        <v>2051097.8240689072</v>
      </c>
      <c r="U120" s="33">
        <f t="shared" si="54"/>
        <v>2053862.8250672177</v>
      </c>
      <c r="V120" s="33">
        <f t="shared" si="54"/>
        <v>2058543.1783299276</v>
      </c>
      <c r="W120" s="33">
        <f t="shared" si="54"/>
        <v>1699886.9780144161</v>
      </c>
      <c r="X120" s="33">
        <f t="shared" si="54"/>
        <v>1445445.8966289111</v>
      </c>
      <c r="Y120" s="33">
        <f t="shared" si="54"/>
        <v>1411350.1155984926</v>
      </c>
      <c r="Z120" s="33">
        <f t="shared" si="54"/>
        <v>1252110.9189595375</v>
      </c>
      <c r="AA120" s="33">
        <f t="shared" si="54"/>
        <v>1176889.9189595375</v>
      </c>
      <c r="AB120" s="33">
        <f t="shared" si="54"/>
        <v>913731.9889595377</v>
      </c>
      <c r="AC120" s="33">
        <f t="shared" si="54"/>
        <v>481272.76456647407</v>
      </c>
      <c r="AD120" s="33">
        <f t="shared" si="54"/>
        <v>97929.91</v>
      </c>
      <c r="AE120" s="33"/>
      <c r="AF120" s="33"/>
      <c r="AG120" s="33"/>
      <c r="AH120" s="33"/>
      <c r="AI120" s="6">
        <f t="shared" si="12"/>
        <v>-4.5086693164194003E-2</v>
      </c>
      <c r="AJ120" s="7"/>
    </row>
    <row r="121" spans="2:36" ht="15" customHeight="1" x14ac:dyDescent="0.25">
      <c r="B121" s="97" t="s">
        <v>70</v>
      </c>
      <c r="C121" s="9" t="s">
        <v>24</v>
      </c>
      <c r="D121" s="16">
        <v>40000000</v>
      </c>
      <c r="E121" s="17">
        <v>42416</v>
      </c>
      <c r="F121" s="17">
        <v>46069</v>
      </c>
      <c r="G121" s="59" t="s">
        <v>20</v>
      </c>
      <c r="H121" s="20">
        <v>1.7500000000000002E-2</v>
      </c>
      <c r="I121" s="16">
        <v>14000000</v>
      </c>
      <c r="J121" s="16">
        <v>4000000</v>
      </c>
      <c r="K121" s="16">
        <v>0</v>
      </c>
      <c r="L121" s="16">
        <f t="shared" si="50"/>
        <v>10000000</v>
      </c>
      <c r="M121" s="16">
        <v>603265.66</v>
      </c>
      <c r="N121" s="16">
        <v>68094.48000000001</v>
      </c>
      <c r="O121" s="16">
        <f t="shared" si="49"/>
        <v>30000000</v>
      </c>
      <c r="P121" s="8"/>
      <c r="Q121" s="16">
        <v>4000000</v>
      </c>
      <c r="R121" s="16">
        <v>4000000</v>
      </c>
      <c r="S121" s="16">
        <v>2000000</v>
      </c>
      <c r="T121" s="16"/>
      <c r="U121" s="16"/>
      <c r="V121" s="16"/>
      <c r="W121" s="16"/>
      <c r="X121" s="16"/>
      <c r="Y121" s="16"/>
      <c r="Z121" s="16"/>
      <c r="AA121" s="16"/>
      <c r="AB121" s="16"/>
      <c r="AI121" s="6">
        <f t="shared" si="12"/>
        <v>0</v>
      </c>
      <c r="AJ121" s="7"/>
    </row>
    <row r="122" spans="2:36" ht="15" customHeight="1" x14ac:dyDescent="0.25">
      <c r="B122" s="98"/>
      <c r="C122" s="9" t="s">
        <v>23</v>
      </c>
      <c r="D122" s="16">
        <v>7500000</v>
      </c>
      <c r="E122" s="17">
        <v>43700</v>
      </c>
      <c r="F122" s="17">
        <v>47353</v>
      </c>
      <c r="G122" s="60" t="s">
        <v>22</v>
      </c>
      <c r="H122" s="20">
        <v>1.2200000000000001E-2</v>
      </c>
      <c r="I122" s="16">
        <v>6562500</v>
      </c>
      <c r="J122" s="16">
        <v>937500</v>
      </c>
      <c r="K122" s="16">
        <v>0</v>
      </c>
      <c r="L122" s="16">
        <f t="shared" si="50"/>
        <v>5625000</v>
      </c>
      <c r="M122" s="16">
        <v>216634.12</v>
      </c>
      <c r="N122" s="16">
        <v>13911.07</v>
      </c>
      <c r="O122" s="16">
        <f t="shared" si="49"/>
        <v>1875000</v>
      </c>
      <c r="P122" s="8"/>
      <c r="Q122" s="16">
        <v>937500</v>
      </c>
      <c r="R122" s="16">
        <v>937500</v>
      </c>
      <c r="S122" s="16">
        <v>937500</v>
      </c>
      <c r="T122" s="16">
        <v>937500</v>
      </c>
      <c r="U122" s="16">
        <v>937500</v>
      </c>
      <c r="V122" s="16">
        <v>937500</v>
      </c>
      <c r="W122" s="16"/>
      <c r="X122" s="16"/>
      <c r="Y122" s="16"/>
      <c r="Z122" s="16"/>
      <c r="AA122" s="16"/>
      <c r="AB122" s="16"/>
      <c r="AI122" s="6">
        <f t="shared" si="12"/>
        <v>0</v>
      </c>
      <c r="AJ122" s="7"/>
    </row>
    <row r="123" spans="2:36" ht="15" customHeight="1" x14ac:dyDescent="0.25">
      <c r="B123" s="98"/>
      <c r="C123" s="9" t="s">
        <v>29</v>
      </c>
      <c r="D123" s="16">
        <v>7500000</v>
      </c>
      <c r="E123" s="17">
        <v>43773</v>
      </c>
      <c r="F123" s="17">
        <v>47242</v>
      </c>
      <c r="G123" s="60" t="s">
        <v>22</v>
      </c>
      <c r="H123" s="20">
        <v>1.0999999999999999E-2</v>
      </c>
      <c r="I123" s="16">
        <v>6562500</v>
      </c>
      <c r="J123" s="16">
        <v>937500</v>
      </c>
      <c r="K123" s="16">
        <v>0</v>
      </c>
      <c r="L123" s="16">
        <f t="shared" si="50"/>
        <v>5625000</v>
      </c>
      <c r="M123" s="16">
        <v>257734.57</v>
      </c>
      <c r="N123" s="16">
        <v>20965.23</v>
      </c>
      <c r="O123" s="16">
        <f t="shared" si="49"/>
        <v>1875000</v>
      </c>
      <c r="P123" s="8"/>
      <c r="Q123" s="16">
        <v>937500</v>
      </c>
      <c r="R123" s="16">
        <v>937500</v>
      </c>
      <c r="S123" s="16">
        <v>937500</v>
      </c>
      <c r="T123" s="16">
        <v>937500</v>
      </c>
      <c r="U123" s="16">
        <v>937500</v>
      </c>
      <c r="V123" s="16">
        <v>937500</v>
      </c>
      <c r="W123" s="16"/>
      <c r="X123" s="16"/>
      <c r="Y123" s="16"/>
      <c r="Z123" s="16"/>
      <c r="AA123" s="16"/>
      <c r="AB123" s="16"/>
      <c r="AI123" s="6">
        <f t="shared" si="12"/>
        <v>0</v>
      </c>
      <c r="AJ123" s="7"/>
    </row>
    <row r="124" spans="2:36" ht="15" customHeight="1" x14ac:dyDescent="0.25">
      <c r="B124" s="98"/>
      <c r="C124" s="9" t="s">
        <v>117</v>
      </c>
      <c r="D124" s="16">
        <v>15000000</v>
      </c>
      <c r="E124" s="17">
        <v>40451</v>
      </c>
      <c r="F124" s="17">
        <v>45550</v>
      </c>
      <c r="G124" s="99">
        <v>1.115E-2</v>
      </c>
      <c r="H124" s="99"/>
      <c r="I124" s="16">
        <v>2727272.76</v>
      </c>
      <c r="J124" s="16">
        <v>1363636.36</v>
      </c>
      <c r="K124" s="16">
        <v>0</v>
      </c>
      <c r="L124" s="16">
        <f t="shared" si="50"/>
        <v>1363636.3999999997</v>
      </c>
      <c r="M124" s="16">
        <v>25932.2</v>
      </c>
      <c r="N124" s="16">
        <v>18438.23</v>
      </c>
      <c r="O124" s="16">
        <f t="shared" si="49"/>
        <v>13636363.6</v>
      </c>
      <c r="P124" s="8"/>
      <c r="Q124" s="16">
        <v>1363636.36</v>
      </c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I124" s="6">
        <f t="shared" si="12"/>
        <v>3.9999999571591616E-2</v>
      </c>
      <c r="AJ124" s="7"/>
    </row>
    <row r="125" spans="2:36" ht="15" customHeight="1" x14ac:dyDescent="0.25">
      <c r="B125" s="98"/>
      <c r="C125" s="9" t="s">
        <v>117</v>
      </c>
      <c r="D125" s="16">
        <v>6000000</v>
      </c>
      <c r="E125" s="17">
        <v>41239</v>
      </c>
      <c r="F125" s="17">
        <v>45550</v>
      </c>
      <c r="G125" s="60" t="s">
        <v>20</v>
      </c>
      <c r="H125" s="20">
        <v>8.2100000000000003E-3</v>
      </c>
      <c r="I125" s="16">
        <v>1090909.05</v>
      </c>
      <c r="J125" s="16">
        <v>545454.55000000005</v>
      </c>
      <c r="K125" s="16">
        <v>0</v>
      </c>
      <c r="L125" s="16">
        <f t="shared" si="50"/>
        <v>545454.5</v>
      </c>
      <c r="M125" s="16">
        <v>44221.91</v>
      </c>
      <c r="N125" s="16">
        <v>7410.79</v>
      </c>
      <c r="O125" s="16">
        <f t="shared" si="49"/>
        <v>5454545.5</v>
      </c>
      <c r="P125" s="8"/>
      <c r="Q125" s="16">
        <v>545454.55000000005</v>
      </c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I125" s="6">
        <f t="shared" si="12"/>
        <v>-5.0000000046566129E-2</v>
      </c>
      <c r="AJ125" s="7"/>
    </row>
    <row r="126" spans="2:36" ht="15" customHeight="1" x14ac:dyDescent="0.25">
      <c r="B126" s="98"/>
      <c r="C126" s="9" t="s">
        <v>117</v>
      </c>
      <c r="D126" s="16">
        <v>30000000</v>
      </c>
      <c r="E126" s="17">
        <v>41941</v>
      </c>
      <c r="F126" s="17">
        <v>48516</v>
      </c>
      <c r="G126" s="99">
        <v>1.332E-2</v>
      </c>
      <c r="H126" s="99"/>
      <c r="I126" s="16">
        <v>21428571.440000001</v>
      </c>
      <c r="J126" s="16">
        <v>2142857.14</v>
      </c>
      <c r="K126" s="16">
        <v>0</v>
      </c>
      <c r="L126" s="16">
        <f t="shared" si="50"/>
        <v>19285714.300000001</v>
      </c>
      <c r="M126" s="16">
        <v>274804.28999999998</v>
      </c>
      <c r="N126" s="16">
        <v>131039.36</v>
      </c>
      <c r="O126" s="16">
        <f t="shared" si="49"/>
        <v>10714285.699999999</v>
      </c>
      <c r="P126" s="8" t="s">
        <v>118</v>
      </c>
      <c r="Q126" s="16">
        <v>2142857.14</v>
      </c>
      <c r="R126" s="16">
        <v>2142857.14</v>
      </c>
      <c r="S126" s="16">
        <v>2142857.14</v>
      </c>
      <c r="T126" s="16">
        <v>2142857.14</v>
      </c>
      <c r="U126" s="16">
        <v>2142857.14</v>
      </c>
      <c r="V126" s="16">
        <v>2142857.14</v>
      </c>
      <c r="W126" s="16">
        <v>2142857.14</v>
      </c>
      <c r="X126" s="16">
        <v>2142857.14</v>
      </c>
      <c r="Y126" s="16">
        <v>2142857.14</v>
      </c>
      <c r="Z126" s="16"/>
      <c r="AA126" s="16"/>
      <c r="AB126" s="16"/>
      <c r="AI126" s="6">
        <f t="shared" si="12"/>
        <v>3.9999996311962605E-2</v>
      </c>
      <c r="AJ126" s="7"/>
    </row>
    <row r="127" spans="2:36" ht="15" customHeight="1" x14ac:dyDescent="0.25">
      <c r="B127" s="98"/>
      <c r="C127" s="9" t="s">
        <v>117</v>
      </c>
      <c r="D127" s="16">
        <v>4500000</v>
      </c>
      <c r="E127" s="17">
        <v>42854</v>
      </c>
      <c r="F127" s="17">
        <v>49428</v>
      </c>
      <c r="G127" s="99">
        <v>1.5800000000000002E-2</v>
      </c>
      <c r="H127" s="99"/>
      <c r="I127" s="16">
        <v>4017857.13</v>
      </c>
      <c r="J127" s="16">
        <v>321428.58</v>
      </c>
      <c r="K127" s="16">
        <v>0</v>
      </c>
      <c r="L127" s="16">
        <f t="shared" si="50"/>
        <v>3696428.55</v>
      </c>
      <c r="M127" s="16">
        <v>61253.22</v>
      </c>
      <c r="N127" s="16">
        <v>15918.57</v>
      </c>
      <c r="O127" s="16">
        <f t="shared" si="49"/>
        <v>803571.45000000019</v>
      </c>
      <c r="P127" s="8" t="s">
        <v>118</v>
      </c>
      <c r="Q127" s="16">
        <v>321428.58</v>
      </c>
      <c r="R127" s="16">
        <v>321428.58</v>
      </c>
      <c r="S127" s="16">
        <v>321428.58</v>
      </c>
      <c r="T127" s="16">
        <v>321428.58</v>
      </c>
      <c r="U127" s="16">
        <v>321428.58</v>
      </c>
      <c r="V127" s="16">
        <v>321428.58</v>
      </c>
      <c r="W127" s="16">
        <v>321428.58</v>
      </c>
      <c r="X127" s="16">
        <v>321428.58</v>
      </c>
      <c r="Y127" s="16">
        <v>321428.58</v>
      </c>
      <c r="Z127" s="16">
        <v>321428.58</v>
      </c>
      <c r="AA127" s="16">
        <v>321428.58</v>
      </c>
      <c r="AB127" s="16">
        <v>160714.29</v>
      </c>
      <c r="AI127" s="6">
        <f t="shared" si="12"/>
        <v>-0.12000000089756213</v>
      </c>
      <c r="AJ127" s="7"/>
    </row>
    <row r="128" spans="2:36" ht="15" customHeight="1" x14ac:dyDescent="0.25">
      <c r="B128" s="98"/>
      <c r="C128" s="9" t="s">
        <v>24</v>
      </c>
      <c r="D128" s="16">
        <v>20000000</v>
      </c>
      <c r="E128" s="17">
        <v>43675</v>
      </c>
      <c r="F128" s="17">
        <v>47328</v>
      </c>
      <c r="G128" s="99">
        <v>1.0800000000000001E-2</v>
      </c>
      <c r="H128" s="99"/>
      <c r="I128" s="16">
        <v>17500000</v>
      </c>
      <c r="J128" s="16">
        <v>2500000</v>
      </c>
      <c r="K128" s="16">
        <v>0</v>
      </c>
      <c r="L128" s="16">
        <f t="shared" si="50"/>
        <v>15000000</v>
      </c>
      <c r="M128" s="16">
        <v>170850</v>
      </c>
      <c r="N128" s="16">
        <v>25771.68</v>
      </c>
      <c r="O128" s="16">
        <f t="shared" si="49"/>
        <v>5000000</v>
      </c>
      <c r="P128" s="8"/>
      <c r="Q128" s="16">
        <v>2500000</v>
      </c>
      <c r="R128" s="16">
        <v>2500000</v>
      </c>
      <c r="S128" s="16">
        <v>2500000</v>
      </c>
      <c r="T128" s="16">
        <v>2500000</v>
      </c>
      <c r="U128" s="16">
        <v>2500000</v>
      </c>
      <c r="V128" s="16">
        <v>2500000</v>
      </c>
      <c r="W128" s="16"/>
      <c r="X128" s="16"/>
      <c r="Y128" s="16"/>
      <c r="Z128" s="16"/>
      <c r="AA128" s="16"/>
      <c r="AB128" s="16"/>
      <c r="AI128" s="6">
        <f t="shared" si="12"/>
        <v>0</v>
      </c>
      <c r="AJ128" s="7"/>
    </row>
    <row r="129" spans="2:36" ht="15" customHeight="1" x14ac:dyDescent="0.25">
      <c r="B129" s="98"/>
      <c r="C129" s="9" t="s">
        <v>115</v>
      </c>
      <c r="D129" s="16">
        <v>20000000</v>
      </c>
      <c r="E129" s="17">
        <v>43671</v>
      </c>
      <c r="F129" s="17">
        <v>47324</v>
      </c>
      <c r="G129" s="99">
        <v>1.0999999999999999E-2</v>
      </c>
      <c r="H129" s="99"/>
      <c r="I129" s="16">
        <v>17500000</v>
      </c>
      <c r="J129" s="16">
        <v>2500000</v>
      </c>
      <c r="K129" s="16">
        <v>0</v>
      </c>
      <c r="L129" s="16">
        <f t="shared" si="50"/>
        <v>15000000</v>
      </c>
      <c r="M129" s="16">
        <v>173708.33</v>
      </c>
      <c r="N129" s="16">
        <v>46679.39</v>
      </c>
      <c r="O129" s="16">
        <f t="shared" si="49"/>
        <v>5000000</v>
      </c>
      <c r="P129" s="8"/>
      <c r="Q129" s="16">
        <v>2500000</v>
      </c>
      <c r="R129" s="16">
        <v>2500000</v>
      </c>
      <c r="S129" s="16">
        <v>2500000</v>
      </c>
      <c r="T129" s="16">
        <v>2500000</v>
      </c>
      <c r="U129" s="16">
        <v>2500000</v>
      </c>
      <c r="V129" s="16">
        <v>2500000</v>
      </c>
      <c r="W129" s="16"/>
      <c r="X129" s="16"/>
      <c r="Y129" s="16"/>
      <c r="Z129" s="16"/>
      <c r="AA129" s="16"/>
      <c r="AB129" s="16"/>
      <c r="AI129" s="6">
        <f t="shared" si="12"/>
        <v>0</v>
      </c>
      <c r="AJ129" s="7"/>
    </row>
    <row r="130" spans="2:36" ht="15" customHeight="1" x14ac:dyDescent="0.25">
      <c r="B130" s="98"/>
      <c r="C130" s="9" t="s">
        <v>116</v>
      </c>
      <c r="D130" s="16">
        <v>25000000</v>
      </c>
      <c r="E130" s="17">
        <v>44628</v>
      </c>
      <c r="F130" s="17">
        <v>48281</v>
      </c>
      <c r="G130" s="99">
        <v>1.5559999999999999E-2</v>
      </c>
      <c r="H130" s="99"/>
      <c r="I130" s="16">
        <v>23750000</v>
      </c>
      <c r="J130" s="16">
        <v>2500000</v>
      </c>
      <c r="K130" s="16">
        <v>0</v>
      </c>
      <c r="L130" s="16">
        <f t="shared" si="50"/>
        <v>21250000</v>
      </c>
      <c r="M130" s="16">
        <v>352315.13</v>
      </c>
      <c r="N130" s="16">
        <v>23198.16</v>
      </c>
      <c r="O130" s="16">
        <f t="shared" si="49"/>
        <v>3750000</v>
      </c>
      <c r="P130" s="8"/>
      <c r="Q130" s="16">
        <v>2500000</v>
      </c>
      <c r="R130" s="16">
        <v>2500000</v>
      </c>
      <c r="S130" s="16">
        <v>2500000</v>
      </c>
      <c r="T130" s="16">
        <v>2500000</v>
      </c>
      <c r="U130" s="16">
        <v>2500000</v>
      </c>
      <c r="V130" s="16">
        <v>2500000</v>
      </c>
      <c r="W130" s="16">
        <v>2500000</v>
      </c>
      <c r="X130" s="16">
        <v>2500000</v>
      </c>
      <c r="Y130" s="16">
        <v>1250000</v>
      </c>
      <c r="Z130" s="16"/>
      <c r="AA130" s="16"/>
      <c r="AB130" s="16"/>
      <c r="AI130" s="6">
        <f t="shared" si="12"/>
        <v>0</v>
      </c>
      <c r="AJ130" s="7"/>
    </row>
    <row r="131" spans="2:36" ht="15" customHeight="1" x14ac:dyDescent="0.25">
      <c r="B131" s="98"/>
      <c r="C131" s="9" t="s">
        <v>58</v>
      </c>
      <c r="D131" s="16">
        <v>30000000</v>
      </c>
      <c r="E131" s="17">
        <v>44894</v>
      </c>
      <c r="F131" s="17">
        <v>47086</v>
      </c>
      <c r="G131" s="99">
        <v>2.895E-2</v>
      </c>
      <c r="H131" s="99"/>
      <c r="I131" s="16">
        <v>30000000</v>
      </c>
      <c r="J131" s="16">
        <v>5000000</v>
      </c>
      <c r="K131" s="16">
        <v>0</v>
      </c>
      <c r="L131" s="16">
        <f t="shared" si="50"/>
        <v>25000000</v>
      </c>
      <c r="M131" s="16">
        <v>853220.83</v>
      </c>
      <c r="N131" s="16">
        <v>48142.69</v>
      </c>
      <c r="O131" s="16">
        <v>0</v>
      </c>
      <c r="P131" s="8"/>
      <c r="Q131" s="16">
        <v>5000000</v>
      </c>
      <c r="R131" s="16">
        <v>5000000</v>
      </c>
      <c r="S131" s="16">
        <v>5000000</v>
      </c>
      <c r="T131" s="16">
        <v>5000000</v>
      </c>
      <c r="U131" s="16">
        <v>5000000</v>
      </c>
      <c r="V131" s="16"/>
      <c r="W131" s="16"/>
      <c r="X131" s="16"/>
      <c r="Y131" s="16"/>
      <c r="Z131" s="16"/>
      <c r="AA131" s="16"/>
      <c r="AB131" s="16"/>
      <c r="AI131" s="6">
        <f t="shared" si="12"/>
        <v>0</v>
      </c>
      <c r="AJ131" s="7"/>
    </row>
    <row r="132" spans="2:36" ht="15" customHeight="1" x14ac:dyDescent="0.25">
      <c r="B132" s="98"/>
      <c r="C132" s="9" t="s">
        <v>24</v>
      </c>
      <c r="D132" s="16">
        <v>60000000</v>
      </c>
      <c r="E132" s="17">
        <v>43786</v>
      </c>
      <c r="F132" s="17">
        <v>45613</v>
      </c>
      <c r="G132" s="60" t="s">
        <v>20</v>
      </c>
      <c r="H132" s="20">
        <v>2.2499999999999998E-3</v>
      </c>
      <c r="I132" s="16">
        <v>60000000</v>
      </c>
      <c r="J132" s="16"/>
      <c r="K132" s="16"/>
      <c r="L132" s="16">
        <v>16000000</v>
      </c>
      <c r="M132" s="16">
        <v>8460</v>
      </c>
      <c r="N132" s="16">
        <v>0</v>
      </c>
      <c r="O132" s="16">
        <v>0</v>
      </c>
      <c r="P132" s="8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I132" s="6">
        <f t="shared" si="12"/>
        <v>16000000</v>
      </c>
      <c r="AJ132" s="7"/>
    </row>
    <row r="133" spans="2:36" ht="15" customHeight="1" x14ac:dyDescent="0.25">
      <c r="B133" s="98"/>
      <c r="C133" s="9" t="s">
        <v>25</v>
      </c>
      <c r="D133" s="16">
        <v>20000000</v>
      </c>
      <c r="E133" s="17">
        <v>44511</v>
      </c>
      <c r="F133" s="17">
        <v>46337</v>
      </c>
      <c r="G133" s="60" t="s">
        <v>20</v>
      </c>
      <c r="H133" s="20">
        <v>9.7999999999999997E-3</v>
      </c>
      <c r="I133" s="16">
        <v>20000000</v>
      </c>
      <c r="J133" s="16"/>
      <c r="K133" s="16"/>
      <c r="L133" s="16">
        <v>40000000</v>
      </c>
      <c r="M133" s="16">
        <v>59234.239999999998</v>
      </c>
      <c r="N133" s="16">
        <v>0</v>
      </c>
      <c r="O133" s="16">
        <v>0</v>
      </c>
      <c r="P133" s="8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I133" s="6">
        <f t="shared" si="12"/>
        <v>40000000</v>
      </c>
      <c r="AJ133" s="7"/>
    </row>
    <row r="134" spans="2:36" ht="15" customHeight="1" x14ac:dyDescent="0.25">
      <c r="B134" s="98"/>
      <c r="C134" s="9" t="s">
        <v>35</v>
      </c>
      <c r="D134" s="16">
        <v>25000000</v>
      </c>
      <c r="E134" s="17">
        <v>44199</v>
      </c>
      <c r="F134" s="17">
        <v>45660</v>
      </c>
      <c r="G134" s="60" t="s">
        <v>20</v>
      </c>
      <c r="H134" s="20">
        <v>7.0000000000000001E-3</v>
      </c>
      <c r="I134" s="16">
        <v>25000000</v>
      </c>
      <c r="J134" s="16"/>
      <c r="K134" s="16"/>
      <c r="L134" s="16">
        <f t="shared" si="50"/>
        <v>25000000</v>
      </c>
      <c r="M134" s="16">
        <v>141666.67000000001</v>
      </c>
      <c r="N134" s="16">
        <v>0</v>
      </c>
      <c r="O134" s="16">
        <v>0</v>
      </c>
      <c r="P134" s="8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I134" s="6">
        <f t="shared" si="12"/>
        <v>25000000</v>
      </c>
      <c r="AJ134" s="7"/>
    </row>
    <row r="135" spans="2:36" ht="15" customHeight="1" x14ac:dyDescent="0.25">
      <c r="B135" s="98"/>
      <c r="C135" s="9" t="s">
        <v>38</v>
      </c>
      <c r="D135" s="16">
        <v>10000000</v>
      </c>
      <c r="E135" s="17">
        <v>43630</v>
      </c>
      <c r="F135" s="17">
        <v>45457</v>
      </c>
      <c r="G135" s="60" t="s">
        <v>20</v>
      </c>
      <c r="H135" s="20">
        <v>7.4999999999999997E-3</v>
      </c>
      <c r="I135" s="16">
        <v>10000000</v>
      </c>
      <c r="J135" s="16"/>
      <c r="K135" s="16"/>
      <c r="L135" s="16">
        <f t="shared" si="50"/>
        <v>10000000</v>
      </c>
      <c r="M135" s="16">
        <v>54833.34</v>
      </c>
      <c r="N135" s="16">
        <v>0</v>
      </c>
      <c r="O135" s="16">
        <v>0</v>
      </c>
      <c r="P135" s="8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I135" s="6">
        <f t="shared" ref="AI135:AI153" si="55">+L135-Q135-R135-S135-T135-U135-V135-W135-X135-Y135-Z135-AA135-AB135-AC135-AD135-AE135-AF135-AG135-AH135</f>
        <v>10000000</v>
      </c>
      <c r="AJ135" s="7"/>
    </row>
    <row r="136" spans="2:36" ht="15" customHeight="1" x14ac:dyDescent="0.25">
      <c r="B136" s="98"/>
      <c r="C136" s="9" t="s">
        <v>41</v>
      </c>
      <c r="D136" s="16">
        <v>25000000</v>
      </c>
      <c r="E136" s="17">
        <v>44505</v>
      </c>
      <c r="F136" s="17">
        <v>46361</v>
      </c>
      <c r="G136" s="60" t="s">
        <v>20</v>
      </c>
      <c r="H136" s="20">
        <v>0.01</v>
      </c>
      <c r="I136" s="16">
        <v>25000000</v>
      </c>
      <c r="J136" s="16"/>
      <c r="K136" s="16"/>
      <c r="L136" s="16">
        <v>20000000</v>
      </c>
      <c r="M136" s="16">
        <v>258000</v>
      </c>
      <c r="N136" s="16">
        <v>0</v>
      </c>
      <c r="O136" s="16">
        <v>0</v>
      </c>
      <c r="P136" s="8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I136" s="6">
        <f t="shared" si="55"/>
        <v>20000000</v>
      </c>
      <c r="AJ136" s="7"/>
    </row>
    <row r="137" spans="2:36" ht="15" customHeight="1" x14ac:dyDescent="0.25">
      <c r="B137" s="53"/>
      <c r="C137" s="9" t="s">
        <v>41</v>
      </c>
      <c r="D137" s="16">
        <v>20000000</v>
      </c>
      <c r="E137" s="17">
        <v>45077</v>
      </c>
      <c r="F137" s="17">
        <v>47999</v>
      </c>
      <c r="G137" s="60" t="s">
        <v>20</v>
      </c>
      <c r="H137" s="20">
        <v>0.01</v>
      </c>
      <c r="I137" s="16"/>
      <c r="J137" s="16"/>
      <c r="K137" s="16"/>
      <c r="L137" s="16">
        <v>20000000</v>
      </c>
      <c r="M137" s="16">
        <v>535986.66</v>
      </c>
      <c r="N137" s="16">
        <v>245439.47</v>
      </c>
      <c r="O137" s="16"/>
      <c r="P137" s="8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I137" s="6">
        <f t="shared" si="55"/>
        <v>20000000</v>
      </c>
      <c r="AJ137" s="7"/>
    </row>
    <row r="138" spans="2:36" ht="15" customHeight="1" x14ac:dyDescent="0.25">
      <c r="B138" s="53"/>
      <c r="C138" s="9" t="s">
        <v>140</v>
      </c>
      <c r="D138" s="16">
        <v>20000000</v>
      </c>
      <c r="E138" s="17">
        <v>45216</v>
      </c>
      <c r="F138" s="17">
        <v>48138</v>
      </c>
      <c r="G138" s="99">
        <v>4.2549999999999998E-2</v>
      </c>
      <c r="H138" s="99"/>
      <c r="I138" s="16"/>
      <c r="J138" s="16"/>
      <c r="K138" s="16"/>
      <c r="L138" s="16">
        <v>20000000</v>
      </c>
      <c r="M138" s="16">
        <v>179655.56</v>
      </c>
      <c r="N138" s="16">
        <v>20748.11</v>
      </c>
      <c r="O138" s="16"/>
      <c r="P138" s="8"/>
      <c r="Q138" s="16"/>
      <c r="R138" s="16"/>
      <c r="S138" s="16"/>
      <c r="T138" s="16"/>
      <c r="U138" s="16">
        <v>1818181.82</v>
      </c>
      <c r="V138" s="16">
        <v>3636363.64</v>
      </c>
      <c r="W138" s="16">
        <v>3636363.64</v>
      </c>
      <c r="X138" s="16">
        <v>3636363.64</v>
      </c>
      <c r="Y138" s="16">
        <v>3636363.64</v>
      </c>
      <c r="Z138" s="16">
        <v>3636363.64</v>
      </c>
      <c r="AA138" s="16"/>
      <c r="AB138" s="16"/>
      <c r="AI138" s="6">
        <f t="shared" si="55"/>
        <v>-2.0000002346932888E-2</v>
      </c>
      <c r="AJ138" s="7"/>
    </row>
    <row r="139" spans="2:36" ht="15" customHeight="1" x14ac:dyDescent="0.25">
      <c r="B139" s="53"/>
      <c r="C139" s="9" t="s">
        <v>24</v>
      </c>
      <c r="D139" s="16">
        <v>50000000</v>
      </c>
      <c r="E139" s="17">
        <v>45275</v>
      </c>
      <c r="F139" s="17">
        <v>48928</v>
      </c>
      <c r="G139" s="60" t="s">
        <v>20</v>
      </c>
      <c r="H139" s="20">
        <v>9.75E-3</v>
      </c>
      <c r="I139" s="16"/>
      <c r="J139" s="16"/>
      <c r="K139" s="16"/>
      <c r="L139" s="16">
        <v>50000000</v>
      </c>
      <c r="M139" s="16">
        <v>116166.67</v>
      </c>
      <c r="N139" s="16">
        <v>14659.43</v>
      </c>
      <c r="O139" s="16"/>
      <c r="P139" s="8"/>
      <c r="Q139" s="16"/>
      <c r="R139" s="16"/>
      <c r="S139" s="16"/>
      <c r="T139" s="16">
        <v>5560000</v>
      </c>
      <c r="U139" s="16">
        <v>5560000</v>
      </c>
      <c r="V139" s="16">
        <v>5560000</v>
      </c>
      <c r="W139" s="16">
        <v>5560000</v>
      </c>
      <c r="X139" s="16">
        <v>5560000</v>
      </c>
      <c r="Y139" s="16">
        <v>5560000</v>
      </c>
      <c r="Z139" s="16">
        <v>5560000</v>
      </c>
      <c r="AA139" s="16">
        <v>5560000</v>
      </c>
      <c r="AB139" s="16">
        <v>5520000</v>
      </c>
      <c r="AI139" s="6">
        <f t="shared" si="55"/>
        <v>0</v>
      </c>
      <c r="AJ139" s="7"/>
    </row>
    <row r="140" spans="2:36" ht="15.75" customHeight="1" x14ac:dyDescent="0.25">
      <c r="B140" s="23"/>
      <c r="C140" s="24" t="s">
        <v>47</v>
      </c>
      <c r="D140" s="25">
        <f>SUM(D121:D139)</f>
        <v>435500000</v>
      </c>
      <c r="E140" s="23"/>
      <c r="F140" s="54"/>
      <c r="G140" s="55"/>
      <c r="H140" s="56"/>
      <c r="I140" s="25">
        <f t="shared" ref="I140:O140" si="56">SUM(I121:I139)</f>
        <v>285139610.38</v>
      </c>
      <c r="J140" s="25">
        <f t="shared" si="56"/>
        <v>22748376.630000003</v>
      </c>
      <c r="K140" s="25">
        <f t="shared" si="56"/>
        <v>0</v>
      </c>
      <c r="L140" s="25">
        <f t="shared" si="56"/>
        <v>323391233.75</v>
      </c>
      <c r="M140" s="25">
        <f t="shared" si="56"/>
        <v>4387943.4000000004</v>
      </c>
      <c r="N140" s="25">
        <f t="shared" si="56"/>
        <v>700416.66</v>
      </c>
      <c r="O140" s="25">
        <f t="shared" si="56"/>
        <v>78108766.25</v>
      </c>
      <c r="P140" s="25"/>
      <c r="Q140" s="25">
        <f t="shared" ref="Q140:AB140" si="57">SUM(Q121:Q136)</f>
        <v>22748376.630000003</v>
      </c>
      <c r="R140" s="25">
        <f t="shared" si="57"/>
        <v>20839285.719999999</v>
      </c>
      <c r="S140" s="25">
        <f t="shared" si="57"/>
        <v>18839285.719999999</v>
      </c>
      <c r="T140" s="25">
        <f t="shared" si="57"/>
        <v>16839285.719999999</v>
      </c>
      <c r="U140" s="25">
        <f t="shared" si="57"/>
        <v>16839285.719999999</v>
      </c>
      <c r="V140" s="25">
        <f t="shared" si="57"/>
        <v>11839285.719999999</v>
      </c>
      <c r="W140" s="25">
        <f t="shared" si="57"/>
        <v>4964285.7200000007</v>
      </c>
      <c r="X140" s="25">
        <f t="shared" si="57"/>
        <v>4964285.7200000007</v>
      </c>
      <c r="Y140" s="25">
        <f t="shared" si="57"/>
        <v>3714285.72</v>
      </c>
      <c r="Z140" s="25">
        <f t="shared" si="57"/>
        <v>321428.58</v>
      </c>
      <c r="AA140" s="25">
        <f t="shared" si="57"/>
        <v>321428.58</v>
      </c>
      <c r="AB140" s="25">
        <f t="shared" si="57"/>
        <v>160714.29</v>
      </c>
      <c r="AC140" s="25"/>
      <c r="AD140" s="25"/>
      <c r="AE140" s="25"/>
      <c r="AF140" s="25"/>
      <c r="AG140" s="25"/>
      <c r="AH140" s="25"/>
      <c r="AI140" s="6">
        <f t="shared" si="55"/>
        <v>200999999.90999997</v>
      </c>
      <c r="AJ140" s="7"/>
    </row>
    <row r="141" spans="2:36" ht="15" customHeight="1" x14ac:dyDescent="0.25">
      <c r="B141" s="61" t="s">
        <v>71</v>
      </c>
      <c r="C141" s="9" t="s">
        <v>117</v>
      </c>
      <c r="D141" s="16">
        <v>6000000</v>
      </c>
      <c r="E141" s="17">
        <v>41239</v>
      </c>
      <c r="F141" s="17">
        <v>45550</v>
      </c>
      <c r="G141" s="60" t="s">
        <v>20</v>
      </c>
      <c r="H141" s="20">
        <v>8.2100000000000003E-3</v>
      </c>
      <c r="I141" s="16">
        <v>1090909.05</v>
      </c>
      <c r="J141" s="16">
        <v>545454.55000000005</v>
      </c>
      <c r="K141" s="16">
        <v>0</v>
      </c>
      <c r="L141" s="16">
        <f>I141-J141+K141</f>
        <v>545454.5</v>
      </c>
      <c r="M141" s="16">
        <v>44221.91</v>
      </c>
      <c r="N141" s="16">
        <v>7410.44</v>
      </c>
      <c r="O141" s="16">
        <f t="shared" ref="O141" si="58">D141-L141</f>
        <v>5454545.5</v>
      </c>
      <c r="P141" s="16"/>
      <c r="Q141" s="16">
        <v>545454.55000000005</v>
      </c>
      <c r="R141" s="16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I141" s="6">
        <f t="shared" si="55"/>
        <v>-5.0000000046566129E-2</v>
      </c>
      <c r="AJ141" s="7"/>
    </row>
    <row r="142" spans="2:36" ht="15.75" customHeight="1" x14ac:dyDescent="0.25">
      <c r="B142" s="23"/>
      <c r="C142" s="24" t="s">
        <v>47</v>
      </c>
      <c r="D142" s="25">
        <f>SUM(D141:D141)</f>
        <v>6000000</v>
      </c>
      <c r="E142" s="23"/>
      <c r="F142" s="54"/>
      <c r="G142" s="55"/>
      <c r="H142" s="56"/>
      <c r="I142" s="25">
        <f t="shared" ref="I142:O142" si="59">SUM(I141:I141)</f>
        <v>1090909.05</v>
      </c>
      <c r="J142" s="25">
        <f t="shared" si="59"/>
        <v>545454.55000000005</v>
      </c>
      <c r="K142" s="25">
        <f t="shared" si="59"/>
        <v>0</v>
      </c>
      <c r="L142" s="25">
        <f t="shared" si="59"/>
        <v>545454.5</v>
      </c>
      <c r="M142" s="25">
        <f t="shared" si="59"/>
        <v>44221.91</v>
      </c>
      <c r="N142" s="25">
        <f t="shared" si="59"/>
        <v>7410.44</v>
      </c>
      <c r="O142" s="25">
        <f t="shared" si="59"/>
        <v>5454545.5</v>
      </c>
      <c r="P142" s="25"/>
      <c r="Q142" s="25">
        <f t="shared" ref="Q142" si="60">SUM(Q141:Q141)</f>
        <v>545454.55000000005</v>
      </c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6">
        <f t="shared" si="55"/>
        <v>-5.0000000046566129E-2</v>
      </c>
      <c r="AJ142" s="7"/>
    </row>
    <row r="143" spans="2:36" ht="15" customHeight="1" x14ac:dyDescent="0.25">
      <c r="B143" s="61" t="s">
        <v>153</v>
      </c>
      <c r="C143" s="9" t="s">
        <v>43</v>
      </c>
      <c r="D143" s="16">
        <v>3708178</v>
      </c>
      <c r="E143" s="17">
        <v>43098</v>
      </c>
      <c r="F143" s="17">
        <v>45472</v>
      </c>
      <c r="G143" s="60" t="s">
        <v>22</v>
      </c>
      <c r="H143" s="20">
        <v>3.7499999999999999E-2</v>
      </c>
      <c r="I143" s="16">
        <v>915220</v>
      </c>
      <c r="J143" s="16">
        <v>601007</v>
      </c>
      <c r="K143" s="16">
        <v>0</v>
      </c>
      <c r="L143" s="16">
        <f>I143-J143+K143</f>
        <v>314213</v>
      </c>
      <c r="M143" s="16">
        <v>41799</v>
      </c>
      <c r="N143" s="16">
        <v>0</v>
      </c>
      <c r="O143" s="16">
        <v>3393965</v>
      </c>
      <c r="P143" s="16"/>
      <c r="Q143" s="16">
        <v>314213</v>
      </c>
      <c r="R143" s="16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I143" s="6">
        <f t="shared" si="55"/>
        <v>0</v>
      </c>
      <c r="AJ143" s="7"/>
    </row>
    <row r="144" spans="2:36" ht="15.75" customHeight="1" x14ac:dyDescent="0.25">
      <c r="B144" s="23"/>
      <c r="C144" s="24" t="s">
        <v>47</v>
      </c>
      <c r="D144" s="25">
        <f>SUM(D143:D143)</f>
        <v>3708178</v>
      </c>
      <c r="E144" s="23"/>
      <c r="F144" s="54"/>
      <c r="G144" s="55"/>
      <c r="H144" s="56"/>
      <c r="I144" s="25">
        <f t="shared" ref="I144:O144" si="61">SUM(I143:I143)</f>
        <v>915220</v>
      </c>
      <c r="J144" s="25">
        <f t="shared" si="61"/>
        <v>601007</v>
      </c>
      <c r="K144" s="25">
        <f t="shared" si="61"/>
        <v>0</v>
      </c>
      <c r="L144" s="25">
        <f t="shared" si="61"/>
        <v>314213</v>
      </c>
      <c r="M144" s="25">
        <f t="shared" si="61"/>
        <v>41799</v>
      </c>
      <c r="N144" s="25">
        <f t="shared" si="61"/>
        <v>0</v>
      </c>
      <c r="O144" s="25">
        <f t="shared" si="61"/>
        <v>3393965</v>
      </c>
      <c r="P144" s="25"/>
      <c r="Q144" s="25">
        <f t="shared" ref="Q144" si="62">SUM(Q143:Q143)</f>
        <v>314213</v>
      </c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6">
        <f t="shared" si="55"/>
        <v>0</v>
      </c>
      <c r="AJ144" s="7"/>
    </row>
    <row r="145" spans="2:36" ht="15.75" customHeight="1" x14ac:dyDescent="0.25">
      <c r="B145" s="23"/>
      <c r="C145" s="24" t="s">
        <v>72</v>
      </c>
      <c r="D145" s="25">
        <f>D61+D64</f>
        <v>3529925841.7900004</v>
      </c>
      <c r="E145" s="23"/>
      <c r="F145" s="23"/>
      <c r="G145" s="25"/>
      <c r="H145" s="25"/>
      <c r="I145" s="25">
        <f t="shared" ref="I145:O145" si="63">I61+I64</f>
        <v>2811526440.2689996</v>
      </c>
      <c r="J145" s="25">
        <f t="shared" si="63"/>
        <v>208952592.46999997</v>
      </c>
      <c r="K145" s="25">
        <f t="shared" si="63"/>
        <v>262000000</v>
      </c>
      <c r="L145" s="25">
        <f t="shared" si="63"/>
        <v>2864573868.3590012</v>
      </c>
      <c r="M145" s="25">
        <f t="shared" si="63"/>
        <v>51278803.908206724</v>
      </c>
      <c r="N145" s="25">
        <f t="shared" si="63"/>
        <v>1173835.6399999999</v>
      </c>
      <c r="O145" s="25">
        <f t="shared" si="63"/>
        <v>665351973.43100011</v>
      </c>
      <c r="P145" s="25"/>
      <c r="Q145" s="25">
        <f t="shared" ref="Q145:AD145" si="64">Q61+Q64</f>
        <v>109429686.61000003</v>
      </c>
      <c r="R145" s="25">
        <f t="shared" si="64"/>
        <v>96623106.970000029</v>
      </c>
      <c r="S145" s="25">
        <f t="shared" si="64"/>
        <v>324741616.79999995</v>
      </c>
      <c r="T145" s="25">
        <f t="shared" si="64"/>
        <v>374145520.37000006</v>
      </c>
      <c r="U145" s="25">
        <f t="shared" si="64"/>
        <v>391307315.35000002</v>
      </c>
      <c r="V145" s="25">
        <f t="shared" si="64"/>
        <v>237101077.91999996</v>
      </c>
      <c r="W145" s="25">
        <f t="shared" si="64"/>
        <v>367868970.97999996</v>
      </c>
      <c r="X145" s="25">
        <f t="shared" si="64"/>
        <v>22108122.190000005</v>
      </c>
      <c r="Y145" s="25">
        <f t="shared" si="64"/>
        <v>466904907.77999997</v>
      </c>
      <c r="Z145" s="25">
        <f t="shared" si="64"/>
        <v>27924358.340000004</v>
      </c>
      <c r="AA145" s="25">
        <f t="shared" si="64"/>
        <v>10929999.16</v>
      </c>
      <c r="AB145" s="25">
        <f t="shared" si="64"/>
        <v>190692.28999999998</v>
      </c>
      <c r="AC145" s="25">
        <f t="shared" si="64"/>
        <v>435193652.20999998</v>
      </c>
      <c r="AD145" s="25">
        <f t="shared" si="64"/>
        <v>104841.56</v>
      </c>
      <c r="AE145" s="25"/>
      <c r="AF145" s="25"/>
      <c r="AG145" s="25"/>
      <c r="AH145" s="25"/>
      <c r="AI145" s="6">
        <f t="shared" si="55"/>
        <v>-0.17099940538173541</v>
      </c>
      <c r="AJ145" s="6"/>
    </row>
    <row r="146" spans="2:36" ht="15.75" customHeight="1" x14ac:dyDescent="0.25">
      <c r="B146" s="23"/>
      <c r="C146" s="24" t="s">
        <v>73</v>
      </c>
      <c r="D146" s="25">
        <f>D66+D75+D77+D79</f>
        <v>24187330.280000001</v>
      </c>
      <c r="E146" s="23"/>
      <c r="F146" s="23"/>
      <c r="G146" s="25"/>
      <c r="H146" s="25"/>
      <c r="I146" s="25">
        <f t="shared" ref="I146:O146" si="65">I66+I75+I77+I79</f>
        <v>17419926.349999998</v>
      </c>
      <c r="J146" s="25">
        <f t="shared" si="65"/>
        <v>2712711.07</v>
      </c>
      <c r="K146" s="25">
        <f t="shared" si="65"/>
        <v>0</v>
      </c>
      <c r="L146" s="25">
        <f t="shared" si="65"/>
        <v>14707215.279999999</v>
      </c>
      <c r="M146" s="25">
        <f t="shared" si="65"/>
        <v>518854.66999999993</v>
      </c>
      <c r="N146" s="25">
        <f t="shared" si="65"/>
        <v>36592.980000000003</v>
      </c>
      <c r="O146" s="25">
        <f t="shared" si="65"/>
        <v>9480115</v>
      </c>
      <c r="P146" s="25"/>
      <c r="Q146" s="25">
        <f t="shared" ref="Q146:AB146" si="66">Q66+Q75+Q77+Q79</f>
        <v>4056779.63</v>
      </c>
      <c r="R146" s="25">
        <f t="shared" si="66"/>
        <v>3326194.86</v>
      </c>
      <c r="S146" s="25">
        <f t="shared" si="66"/>
        <v>2622397.66</v>
      </c>
      <c r="T146" s="25">
        <f t="shared" si="66"/>
        <v>1492455.97</v>
      </c>
      <c r="U146" s="25">
        <f t="shared" si="66"/>
        <v>1412683.1400000001</v>
      </c>
      <c r="V146" s="25">
        <f t="shared" si="66"/>
        <v>358558.19000000006</v>
      </c>
      <c r="W146" s="25">
        <f t="shared" si="66"/>
        <v>280523.87</v>
      </c>
      <c r="X146" s="25">
        <f t="shared" si="66"/>
        <v>283776.38</v>
      </c>
      <c r="Y146" s="25">
        <f t="shared" si="66"/>
        <v>218461</v>
      </c>
      <c r="Z146" s="25">
        <f t="shared" si="66"/>
        <v>218461</v>
      </c>
      <c r="AA146" s="25">
        <f t="shared" si="66"/>
        <v>218461</v>
      </c>
      <c r="AB146" s="25">
        <f t="shared" si="66"/>
        <v>218463</v>
      </c>
      <c r="AC146" s="25"/>
      <c r="AD146" s="25"/>
      <c r="AE146" s="25"/>
      <c r="AF146" s="25"/>
      <c r="AG146" s="25"/>
      <c r="AH146" s="25"/>
      <c r="AI146" s="6">
        <f t="shared" si="55"/>
        <v>-0.42000000097323209</v>
      </c>
      <c r="AJ146" s="6"/>
    </row>
    <row r="147" spans="2:36" ht="15.75" customHeight="1" x14ac:dyDescent="0.25">
      <c r="B147" s="23"/>
      <c r="C147" s="24" t="s">
        <v>74</v>
      </c>
      <c r="D147" s="25">
        <f>D93+D95+D112+D120+D140+D142</f>
        <v>757838868.64999998</v>
      </c>
      <c r="E147" s="23"/>
      <c r="F147" s="23"/>
      <c r="G147" s="25"/>
      <c r="H147" s="25"/>
      <c r="I147" s="25">
        <f t="shared" ref="I147:O147" si="67">I93+I95+I112+I120+I140+I142</f>
        <v>470441687.35804033</v>
      </c>
      <c r="J147" s="25">
        <f t="shared" si="67"/>
        <v>101256361.53744321</v>
      </c>
      <c r="K147" s="25">
        <f t="shared" si="67"/>
        <v>77100000</v>
      </c>
      <c r="L147" s="25">
        <f t="shared" si="67"/>
        <v>507180363.51064909</v>
      </c>
      <c r="M147" s="25">
        <f t="shared" si="67"/>
        <v>14796842.169315763</v>
      </c>
      <c r="N147" s="25">
        <f t="shared" si="67"/>
        <v>1633414.378448572</v>
      </c>
      <c r="O147" s="25">
        <f t="shared" si="67"/>
        <v>216658505.13935086</v>
      </c>
      <c r="P147" s="25"/>
      <c r="Q147" s="25">
        <f t="shared" ref="Q147:AD147" si="68">Q93+Q95+Q112+Q120+Q140+Q142</f>
        <v>41467852.954053678</v>
      </c>
      <c r="R147" s="25">
        <f t="shared" si="68"/>
        <v>33181990.07485925</v>
      </c>
      <c r="S147" s="25">
        <f t="shared" si="68"/>
        <v>91148496.247669935</v>
      </c>
      <c r="T147" s="25">
        <f t="shared" si="68"/>
        <v>35535738.634068906</v>
      </c>
      <c r="U147" s="25">
        <f t="shared" si="68"/>
        <v>31164276.305067219</v>
      </c>
      <c r="V147" s="25">
        <f t="shared" si="68"/>
        <v>23500996.338329926</v>
      </c>
      <c r="W147" s="25">
        <f t="shared" si="68"/>
        <v>21469693.948014416</v>
      </c>
      <c r="X147" s="25">
        <f t="shared" si="68"/>
        <v>11360176.056628911</v>
      </c>
      <c r="Y147" s="25">
        <f t="shared" si="68"/>
        <v>10345635.875598492</v>
      </c>
      <c r="Z147" s="25">
        <f t="shared" si="68"/>
        <v>3853539.4989595376</v>
      </c>
      <c r="AA147" s="25">
        <f t="shared" si="68"/>
        <v>1498318.4989595376</v>
      </c>
      <c r="AB147" s="25">
        <f t="shared" si="68"/>
        <v>1074446.2789595376</v>
      </c>
      <c r="AC147" s="25">
        <f t="shared" si="68"/>
        <v>481272.76456647407</v>
      </c>
      <c r="AD147" s="25">
        <f t="shared" si="68"/>
        <v>97929.91</v>
      </c>
      <c r="AE147" s="25"/>
      <c r="AF147" s="25"/>
      <c r="AG147" s="25"/>
      <c r="AH147" s="25"/>
      <c r="AI147" s="6">
        <f t="shared" si="55"/>
        <v>201000000.12491322</v>
      </c>
      <c r="AJ147" s="6"/>
    </row>
    <row r="148" spans="2:36" ht="15.75" customHeight="1" x14ac:dyDescent="0.25">
      <c r="B148" s="23"/>
      <c r="C148" s="24" t="s">
        <v>150</v>
      </c>
      <c r="D148" s="25">
        <f>D144</f>
        <v>3708178</v>
      </c>
      <c r="E148" s="23"/>
      <c r="F148" s="23"/>
      <c r="G148" s="25"/>
      <c r="H148" s="25"/>
      <c r="I148" s="25">
        <f t="shared" ref="I148:O148" si="69">I144</f>
        <v>915220</v>
      </c>
      <c r="J148" s="25">
        <f t="shared" si="69"/>
        <v>601007</v>
      </c>
      <c r="K148" s="25">
        <f t="shared" si="69"/>
        <v>0</v>
      </c>
      <c r="L148" s="25">
        <f t="shared" si="69"/>
        <v>314213</v>
      </c>
      <c r="M148" s="25">
        <f t="shared" si="69"/>
        <v>41799</v>
      </c>
      <c r="N148" s="25">
        <f t="shared" si="69"/>
        <v>0</v>
      </c>
      <c r="O148" s="25">
        <f t="shared" si="69"/>
        <v>3393965</v>
      </c>
      <c r="P148" s="25"/>
      <c r="Q148" s="25">
        <f>Q144</f>
        <v>314213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6">
        <f t="shared" si="55"/>
        <v>0</v>
      </c>
      <c r="AJ148" s="6"/>
    </row>
    <row r="149" spans="2:36" ht="15.75" customHeight="1" x14ac:dyDescent="0.25">
      <c r="B149" s="23"/>
      <c r="C149" s="24" t="s">
        <v>97</v>
      </c>
      <c r="D149" s="25">
        <f>D69+D70+D71+D72+D76+D78+D80+D81+D82+D83+D96+D97+D98+D99+D100+D101+D102+D103+D104+D105+D106+D107+D108+D109+D110+D113+D114+D115+D117+D118+D126+D127</f>
        <v>437137000</v>
      </c>
      <c r="E149" s="23"/>
      <c r="F149" s="23"/>
      <c r="G149" s="25"/>
      <c r="H149" s="25"/>
      <c r="I149" s="25">
        <f t="shared" ref="I149:O149" si="70">I69+I70+I71+I72+I76+I78+I80+I81+I82+I83+I96+I97+I98+I99+I100+I101+I102+I103+I104+I105+I106+I107+I108+I109+I110+I113+I114+I115+I117+I118+I126+I127</f>
        <v>326377723.1859538</v>
      </c>
      <c r="J149" s="25">
        <f t="shared" si="70"/>
        <v>16514926.408959543</v>
      </c>
      <c r="K149" s="25">
        <f t="shared" si="70"/>
        <v>77100000</v>
      </c>
      <c r="L149" s="25">
        <f t="shared" si="70"/>
        <v>386962796.77699417</v>
      </c>
      <c r="M149" s="25">
        <f t="shared" si="70"/>
        <v>11913049.291713376</v>
      </c>
      <c r="N149" s="25">
        <f t="shared" si="70"/>
        <v>1224100.5449338544</v>
      </c>
      <c r="O149" s="25">
        <f t="shared" si="70"/>
        <v>50174203.223005757</v>
      </c>
      <c r="P149" s="25"/>
      <c r="Q149" s="25">
        <f t="shared" ref="Q149:AD149" si="71">Q69+Q70+Q71+Q72+Q76+Q78+Q80+Q81+Q82+Q83+Q96+Q97+Q98+Q99+Q100+Q101+Q102+Q103+Q104+Q105+Q106+Q107+Q108+Q109+Q110+Q113+Q114+Q115+Q117+Q118+Q126+Q127</f>
        <v>21032366.922336161</v>
      </c>
      <c r="R149" s="25">
        <f t="shared" si="71"/>
        <v>19435356.162336163</v>
      </c>
      <c r="S149" s="25">
        <f t="shared" si="71"/>
        <v>79286108.622336149</v>
      </c>
      <c r="T149" s="25">
        <f t="shared" si="71"/>
        <v>29367102.242336154</v>
      </c>
      <c r="U149" s="25">
        <f t="shared" si="71"/>
        <v>188842051.20233616</v>
      </c>
      <c r="V149" s="25">
        <f t="shared" si="71"/>
        <v>9932217.2723361608</v>
      </c>
      <c r="W149" s="25">
        <f t="shared" si="71"/>
        <v>14182915.438699801</v>
      </c>
      <c r="X149" s="25">
        <f t="shared" si="71"/>
        <v>8837465.9189595375</v>
      </c>
      <c r="Y149" s="25">
        <f t="shared" si="71"/>
        <v>9041706.6789595373</v>
      </c>
      <c r="Z149" s="25">
        <f t="shared" si="71"/>
        <v>3853539.4989595376</v>
      </c>
      <c r="AA149" s="25">
        <f t="shared" si="71"/>
        <v>1498318.4989595376</v>
      </c>
      <c r="AB149" s="25">
        <f t="shared" si="71"/>
        <v>1074446.2789595376</v>
      </c>
      <c r="AC149" s="25">
        <f t="shared" si="71"/>
        <v>481272.76456647407</v>
      </c>
      <c r="AD149" s="25">
        <f t="shared" si="71"/>
        <v>97929.91</v>
      </c>
      <c r="AE149" s="25"/>
      <c r="AF149" s="25"/>
      <c r="AG149" s="25"/>
      <c r="AH149" s="25"/>
      <c r="AI149" s="6">
        <f t="shared" si="55"/>
        <v>-0.63508675343473442</v>
      </c>
      <c r="AJ149" s="6"/>
    </row>
    <row r="150" spans="2:36" ht="15.75" customHeight="1" x14ac:dyDescent="0.25">
      <c r="B150" s="23"/>
      <c r="C150" s="24" t="s">
        <v>151</v>
      </c>
      <c r="D150" s="25">
        <f>D146+D147+D148</f>
        <v>785734376.92999995</v>
      </c>
      <c r="E150" s="23"/>
      <c r="F150" s="54"/>
      <c r="G150" s="55"/>
      <c r="H150" s="56"/>
      <c r="I150" s="33">
        <f t="shared" ref="I150:O150" si="72">I146+I147+I148</f>
        <v>488776833.70804036</v>
      </c>
      <c r="J150" s="33">
        <f t="shared" si="72"/>
        <v>104570079.6074432</v>
      </c>
      <c r="K150" s="33">
        <f t="shared" si="72"/>
        <v>77100000</v>
      </c>
      <c r="L150" s="33">
        <f t="shared" si="72"/>
        <v>522201791.79064906</v>
      </c>
      <c r="M150" s="33">
        <f t="shared" si="72"/>
        <v>15357495.839315763</v>
      </c>
      <c r="N150" s="33">
        <f t="shared" si="72"/>
        <v>1670007.358448572</v>
      </c>
      <c r="O150" s="33">
        <f t="shared" si="72"/>
        <v>229532585.13935086</v>
      </c>
      <c r="P150" s="33"/>
      <c r="Q150" s="33">
        <f t="shared" ref="Q150:AD150" si="73">Q146+Q147+Q148</f>
        <v>45838845.58405368</v>
      </c>
      <c r="R150" s="33">
        <f t="shared" si="73"/>
        <v>36508184.934859253</v>
      </c>
      <c r="S150" s="33">
        <f t="shared" si="73"/>
        <v>93770893.907669932</v>
      </c>
      <c r="T150" s="33">
        <f t="shared" si="73"/>
        <v>37028194.604068905</v>
      </c>
      <c r="U150" s="33">
        <f t="shared" si="73"/>
        <v>32576959.445067219</v>
      </c>
      <c r="V150" s="33">
        <f t="shared" si="73"/>
        <v>23859554.528329927</v>
      </c>
      <c r="W150" s="33">
        <f t="shared" si="73"/>
        <v>21750217.818014417</v>
      </c>
      <c r="X150" s="33">
        <f t="shared" si="73"/>
        <v>11643952.436628912</v>
      </c>
      <c r="Y150" s="33">
        <f t="shared" si="73"/>
        <v>10564096.875598492</v>
      </c>
      <c r="Z150" s="33">
        <f t="shared" si="73"/>
        <v>4072000.4989595376</v>
      </c>
      <c r="AA150" s="33">
        <f t="shared" si="73"/>
        <v>1716779.4989595376</v>
      </c>
      <c r="AB150" s="33">
        <f t="shared" si="73"/>
        <v>1292909.2789595376</v>
      </c>
      <c r="AC150" s="33">
        <f t="shared" si="73"/>
        <v>481272.76456647407</v>
      </c>
      <c r="AD150" s="33">
        <f t="shared" si="73"/>
        <v>97929.91</v>
      </c>
      <c r="AE150" s="33"/>
      <c r="AF150" s="33"/>
      <c r="AG150" s="33"/>
      <c r="AH150" s="33"/>
      <c r="AI150" s="6">
        <f t="shared" si="55"/>
        <v>200999999.70491317</v>
      </c>
      <c r="AJ150" s="6"/>
    </row>
    <row r="151" spans="2:36" ht="15.75" customHeight="1" x14ac:dyDescent="0.25">
      <c r="B151" s="23"/>
      <c r="C151" s="24" t="s">
        <v>152</v>
      </c>
      <c r="D151" s="25">
        <f>D150+D145</f>
        <v>4315660218.7200003</v>
      </c>
      <c r="E151" s="23"/>
      <c r="F151" s="23"/>
      <c r="G151" s="25"/>
      <c r="H151" s="25"/>
      <c r="I151" s="25">
        <f t="shared" ref="I151:O151" si="74">I150+I145</f>
        <v>3300303273.9770398</v>
      </c>
      <c r="J151" s="25">
        <f t="shared" si="74"/>
        <v>313522672.07744318</v>
      </c>
      <c r="K151" s="25">
        <f t="shared" si="74"/>
        <v>339100000</v>
      </c>
      <c r="L151" s="25">
        <f t="shared" si="74"/>
        <v>3386775660.1496501</v>
      </c>
      <c r="M151" s="25">
        <f t="shared" si="74"/>
        <v>66636299.747522488</v>
      </c>
      <c r="N151" s="25">
        <f t="shared" si="74"/>
        <v>2843842.9984485721</v>
      </c>
      <c r="O151" s="25">
        <f t="shared" si="74"/>
        <v>894884558.570351</v>
      </c>
      <c r="P151" s="25"/>
      <c r="Q151" s="25">
        <f t="shared" ref="Q151:AD151" si="75">Q150+Q145</f>
        <v>155268532.19405371</v>
      </c>
      <c r="R151" s="25">
        <f t="shared" si="75"/>
        <v>133131291.90485927</v>
      </c>
      <c r="S151" s="25">
        <f t="shared" si="75"/>
        <v>418512510.70766985</v>
      </c>
      <c r="T151" s="25">
        <f t="shared" si="75"/>
        <v>411173714.974069</v>
      </c>
      <c r="U151" s="25">
        <f t="shared" si="75"/>
        <v>423884274.79506725</v>
      </c>
      <c r="V151" s="25">
        <f t="shared" si="75"/>
        <v>260960632.4483299</v>
      </c>
      <c r="W151" s="25">
        <f t="shared" si="75"/>
        <v>389619188.7980144</v>
      </c>
      <c r="X151" s="25">
        <f t="shared" si="75"/>
        <v>33752074.62662892</v>
      </c>
      <c r="Y151" s="25">
        <f t="shared" si="75"/>
        <v>477469004.65559846</v>
      </c>
      <c r="Z151" s="25">
        <f t="shared" si="75"/>
        <v>31996358.838959541</v>
      </c>
      <c r="AA151" s="25">
        <f t="shared" si="75"/>
        <v>12646778.658959538</v>
      </c>
      <c r="AB151" s="25">
        <f t="shared" si="75"/>
        <v>1483601.5689595377</v>
      </c>
      <c r="AC151" s="25">
        <f t="shared" si="75"/>
        <v>435674924.97456646</v>
      </c>
      <c r="AD151" s="25">
        <f t="shared" si="75"/>
        <v>202771.47</v>
      </c>
      <c r="AE151" s="25"/>
      <c r="AF151" s="25"/>
      <c r="AG151" s="25"/>
      <c r="AH151" s="25"/>
      <c r="AI151" s="6">
        <f t="shared" si="55"/>
        <v>200999999.53391448</v>
      </c>
      <c r="AJ151" s="6"/>
    </row>
    <row r="152" spans="2:36" x14ac:dyDescent="0.25">
      <c r="B152" s="1" t="s">
        <v>75</v>
      </c>
      <c r="I152" s="6"/>
      <c r="L152" s="6"/>
      <c r="AI152" s="6">
        <f t="shared" si="55"/>
        <v>0</v>
      </c>
    </row>
    <row r="153" spans="2:36" x14ac:dyDescent="0.25">
      <c r="B153" s="1" t="s">
        <v>154</v>
      </c>
      <c r="AI153" s="6">
        <f t="shared" si="55"/>
        <v>0</v>
      </c>
    </row>
    <row r="154" spans="2:36" x14ac:dyDescent="0.25">
      <c r="L154" s="7"/>
      <c r="M154" s="7"/>
    </row>
    <row r="155" spans="2:36" x14ac:dyDescent="0.25">
      <c r="I155" s="7"/>
      <c r="J155" s="7"/>
      <c r="L155" s="7"/>
      <c r="M155" s="7"/>
    </row>
    <row r="156" spans="2:36" x14ac:dyDescent="0.25">
      <c r="E156" s="1"/>
      <c r="F156" s="1"/>
      <c r="G156" s="1"/>
      <c r="H156" s="1"/>
      <c r="I156" s="7"/>
      <c r="L156" s="6"/>
    </row>
    <row r="157" spans="2:36" x14ac:dyDescent="0.25">
      <c r="E157" s="1"/>
      <c r="F157" s="1"/>
      <c r="G157" s="1"/>
      <c r="H157" s="1"/>
      <c r="I157" s="6"/>
      <c r="L157" s="6"/>
    </row>
    <row r="158" spans="2:36" x14ac:dyDescent="0.25">
      <c r="I158" s="7"/>
      <c r="L158" s="6"/>
    </row>
    <row r="160" spans="2:36" x14ac:dyDescent="0.25">
      <c r="I160" s="7"/>
    </row>
  </sheetData>
  <mergeCells count="57">
    <mergeCell ref="P4:P5"/>
    <mergeCell ref="G27:H27"/>
    <mergeCell ref="O4:O5"/>
    <mergeCell ref="G6:H6"/>
    <mergeCell ref="G11:H11"/>
    <mergeCell ref="G14:H14"/>
    <mergeCell ref="G17:H17"/>
    <mergeCell ref="B121:B136"/>
    <mergeCell ref="B2:AH2"/>
    <mergeCell ref="Q4:AH4"/>
    <mergeCell ref="B113:B119"/>
    <mergeCell ref="B96:B111"/>
    <mergeCell ref="B85:B92"/>
    <mergeCell ref="J4:K4"/>
    <mergeCell ref="D4:D5"/>
    <mergeCell ref="L4:L5"/>
    <mergeCell ref="M4:M5"/>
    <mergeCell ref="G23:H23"/>
    <mergeCell ref="G24:H24"/>
    <mergeCell ref="B4:B5"/>
    <mergeCell ref="N4:N5"/>
    <mergeCell ref="I4:I5"/>
    <mergeCell ref="G4:H4"/>
    <mergeCell ref="C4:C5"/>
    <mergeCell ref="B62:B63"/>
    <mergeCell ref="G45:H45"/>
    <mergeCell ref="G62:H62"/>
    <mergeCell ref="G63:H63"/>
    <mergeCell ref="G60:H60"/>
    <mergeCell ref="B6:B60"/>
    <mergeCell ref="G25:H25"/>
    <mergeCell ref="G26:H26"/>
    <mergeCell ref="G40:H40"/>
    <mergeCell ref="E4:F4"/>
    <mergeCell ref="G128:H128"/>
    <mergeCell ref="G129:H129"/>
    <mergeCell ref="G131:H131"/>
    <mergeCell ref="G138:H138"/>
    <mergeCell ref="G114:H114"/>
    <mergeCell ref="G115:H115"/>
    <mergeCell ref="G130:H130"/>
    <mergeCell ref="G124:H124"/>
    <mergeCell ref="G126:H126"/>
    <mergeCell ref="G127:H127"/>
    <mergeCell ref="G113:H113"/>
    <mergeCell ref="G53:H53"/>
    <mergeCell ref="G54:H54"/>
    <mergeCell ref="G41:H41"/>
    <mergeCell ref="G42:H42"/>
    <mergeCell ref="G88:H88"/>
    <mergeCell ref="G89:H89"/>
    <mergeCell ref="G59:H59"/>
    <mergeCell ref="B80:B83"/>
    <mergeCell ref="G83:H83"/>
    <mergeCell ref="G82:H82"/>
    <mergeCell ref="G28:H28"/>
    <mergeCell ref="G111:H11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ignoredErrors>
    <ignoredError sqref="O61 O64 O66 L66 L75 O75 L77:L78 O77 L112:O112 L120:O120 L142:L1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255"/>
  <sheetViews>
    <sheetView showGridLines="0" zoomScaleNormal="100" workbookViewId="0">
      <pane ySplit="5" topLeftCell="A35" activePane="bottomLeft" state="frozen"/>
      <selection pane="bottomLeft" activeCell="K21" sqref="K21"/>
    </sheetView>
  </sheetViews>
  <sheetFormatPr defaultColWidth="9.140625" defaultRowHeight="12.75" x14ac:dyDescent="0.25"/>
  <cols>
    <col min="1" max="1" width="2.5703125" style="1" customWidth="1"/>
    <col min="2" max="2" width="22.28515625" style="1" customWidth="1"/>
    <col min="3" max="3" width="24.42578125" style="2" customWidth="1"/>
    <col min="4" max="4" width="11.28515625" style="1" customWidth="1"/>
    <col min="5" max="7" width="10.85546875" style="1" customWidth="1"/>
    <col min="8" max="8" width="10.85546875" style="62" customWidth="1"/>
    <col min="9" max="12" width="10.85546875" style="1" customWidth="1"/>
    <col min="13" max="14" width="11.7109375" style="1" customWidth="1"/>
    <col min="15" max="15" width="11.85546875" style="1" customWidth="1"/>
    <col min="16" max="16" width="9.140625" style="1"/>
    <col min="17" max="17" width="10" style="1" bestFit="1" customWidth="1"/>
    <col min="18" max="16384" width="9.140625" style="1"/>
  </cols>
  <sheetData>
    <row r="2" spans="2:17" ht="15" customHeight="1" x14ac:dyDescent="0.25">
      <c r="B2" s="110" t="s">
        <v>76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7" ht="13.5" thickBot="1" x14ac:dyDescent="0.3">
      <c r="K3" s="10"/>
      <c r="N3" s="10" t="s">
        <v>1</v>
      </c>
      <c r="O3" s="10"/>
    </row>
    <row r="4" spans="2:17" ht="35.1" customHeight="1" x14ac:dyDescent="0.25">
      <c r="B4" s="138" t="s">
        <v>2</v>
      </c>
      <c r="C4" s="114" t="s">
        <v>3</v>
      </c>
      <c r="D4" s="113" t="s">
        <v>4</v>
      </c>
      <c r="E4" s="109" t="s">
        <v>5</v>
      </c>
      <c r="F4" s="109"/>
      <c r="G4" s="121" t="s">
        <v>77</v>
      </c>
      <c r="H4" s="122"/>
      <c r="I4" s="113" t="s">
        <v>125</v>
      </c>
      <c r="J4" s="113" t="s">
        <v>123</v>
      </c>
      <c r="K4" s="113"/>
      <c r="L4" s="113" t="s">
        <v>124</v>
      </c>
      <c r="M4" s="113" t="s">
        <v>7</v>
      </c>
      <c r="N4" s="119" t="s">
        <v>8</v>
      </c>
      <c r="O4" s="131" t="s">
        <v>10</v>
      </c>
    </row>
    <row r="5" spans="2:17" ht="20.100000000000001" customHeight="1" thickBot="1" x14ac:dyDescent="0.3">
      <c r="B5" s="139"/>
      <c r="C5" s="140"/>
      <c r="D5" s="133"/>
      <c r="E5" s="64" t="s">
        <v>11</v>
      </c>
      <c r="F5" s="64" t="s">
        <v>12</v>
      </c>
      <c r="G5" s="64" t="s">
        <v>13</v>
      </c>
      <c r="H5" s="65" t="s">
        <v>14</v>
      </c>
      <c r="I5" s="116"/>
      <c r="J5" s="63" t="s">
        <v>15</v>
      </c>
      <c r="K5" s="63" t="s">
        <v>16</v>
      </c>
      <c r="L5" s="116"/>
      <c r="M5" s="133"/>
      <c r="N5" s="134"/>
      <c r="O5" s="132"/>
    </row>
    <row r="6" spans="2:17" ht="15" customHeight="1" thickTop="1" x14ac:dyDescent="0.25">
      <c r="B6" s="98" t="s">
        <v>78</v>
      </c>
      <c r="C6" s="66" t="s">
        <v>79</v>
      </c>
      <c r="D6" s="67">
        <v>200000000</v>
      </c>
      <c r="E6" s="68">
        <v>43845</v>
      </c>
      <c r="F6" s="68">
        <v>45672</v>
      </c>
      <c r="G6" s="136" t="s">
        <v>80</v>
      </c>
      <c r="H6" s="136"/>
      <c r="I6" s="69">
        <v>0</v>
      </c>
      <c r="J6" s="67">
        <v>0</v>
      </c>
      <c r="K6" s="67">
        <v>0</v>
      </c>
      <c r="L6" s="88">
        <v>0</v>
      </c>
      <c r="M6" s="70">
        <v>0</v>
      </c>
      <c r="N6" s="70">
        <v>107500</v>
      </c>
      <c r="O6" s="71"/>
    </row>
    <row r="7" spans="2:17" ht="15" customHeight="1" x14ac:dyDescent="0.25">
      <c r="B7" s="98"/>
      <c r="C7" s="66" t="s">
        <v>24</v>
      </c>
      <c r="D7" s="67">
        <v>75000000</v>
      </c>
      <c r="E7" s="68">
        <v>44981</v>
      </c>
      <c r="F7" s="68">
        <v>45657</v>
      </c>
      <c r="G7" s="19" t="s">
        <v>20</v>
      </c>
      <c r="H7" s="20" t="s">
        <v>132</v>
      </c>
      <c r="I7" s="69">
        <v>0</v>
      </c>
      <c r="J7" s="67">
        <v>84598658</v>
      </c>
      <c r="K7" s="67">
        <v>137520500</v>
      </c>
      <c r="L7" s="89">
        <f>+K7-J7</f>
        <v>52921842</v>
      </c>
      <c r="M7" s="70">
        <v>0</v>
      </c>
      <c r="N7" s="70">
        <v>35000</v>
      </c>
      <c r="O7" s="71"/>
    </row>
    <row r="8" spans="2:17" ht="15" customHeight="1" x14ac:dyDescent="0.25">
      <c r="B8" s="98"/>
      <c r="C8" s="66" t="s">
        <v>23</v>
      </c>
      <c r="D8" s="67">
        <v>100000000</v>
      </c>
      <c r="E8" s="68">
        <v>44942</v>
      </c>
      <c r="F8" s="68">
        <v>45291</v>
      </c>
      <c r="G8" s="19" t="s">
        <v>22</v>
      </c>
      <c r="H8" s="20">
        <v>5.0000000000000001E-3</v>
      </c>
      <c r="I8" s="69">
        <v>0</v>
      </c>
      <c r="J8" s="67">
        <v>186000000</v>
      </c>
      <c r="K8" s="67">
        <v>186000000</v>
      </c>
      <c r="L8" s="88">
        <v>0</v>
      </c>
      <c r="M8" s="70">
        <v>0</v>
      </c>
      <c r="N8" s="70">
        <v>110000</v>
      </c>
      <c r="O8" s="71"/>
    </row>
    <row r="9" spans="2:17" ht="15" customHeight="1" x14ac:dyDescent="0.25">
      <c r="B9" s="98"/>
      <c r="C9" s="66" t="s">
        <v>42</v>
      </c>
      <c r="D9" s="67">
        <v>50000000</v>
      </c>
      <c r="E9" s="68">
        <v>45009</v>
      </c>
      <c r="F9" s="68">
        <v>45291</v>
      </c>
      <c r="G9" s="19" t="s">
        <v>22</v>
      </c>
      <c r="H9" s="20">
        <v>1E-3</v>
      </c>
      <c r="I9" s="69">
        <v>0</v>
      </c>
      <c r="J9" s="67">
        <v>50000000</v>
      </c>
      <c r="K9" s="67">
        <v>50000000</v>
      </c>
      <c r="L9" s="88">
        <v>0</v>
      </c>
      <c r="M9" s="70">
        <v>880999.45</v>
      </c>
      <c r="N9" s="70">
        <v>50000</v>
      </c>
      <c r="O9" s="71"/>
    </row>
    <row r="10" spans="2:17" ht="15" customHeight="1" x14ac:dyDescent="0.25">
      <c r="B10" s="135"/>
      <c r="C10" s="72" t="s">
        <v>35</v>
      </c>
      <c r="D10" s="73">
        <v>50000000</v>
      </c>
      <c r="E10" s="74">
        <v>44998</v>
      </c>
      <c r="F10" s="74">
        <v>45291</v>
      </c>
      <c r="G10" s="75" t="s">
        <v>20</v>
      </c>
      <c r="H10" s="76">
        <v>5.4999999999999997E-3</v>
      </c>
      <c r="I10" s="77">
        <v>0</v>
      </c>
      <c r="J10" s="73">
        <v>90000000</v>
      </c>
      <c r="K10" s="73">
        <v>90000000</v>
      </c>
      <c r="L10" s="90">
        <v>0</v>
      </c>
      <c r="M10" s="78">
        <v>248395.41</v>
      </c>
      <c r="N10" s="78">
        <v>135000</v>
      </c>
      <c r="O10" s="79"/>
    </row>
    <row r="11" spans="2:17" ht="15.75" customHeight="1" x14ac:dyDescent="0.25">
      <c r="B11" s="23"/>
      <c r="C11" s="33" t="s">
        <v>47</v>
      </c>
      <c r="D11" s="25">
        <f>SUM(D6:D10)</f>
        <v>475000000</v>
      </c>
      <c r="E11" s="25"/>
      <c r="F11" s="25"/>
      <c r="G11" s="25"/>
      <c r="H11" s="25"/>
      <c r="I11" s="25">
        <v>0</v>
      </c>
      <c r="J11" s="25">
        <f>SUM(J6:J10)</f>
        <v>410598658</v>
      </c>
      <c r="K11" s="25">
        <f>SUM(K6:K10)</f>
        <v>463520500</v>
      </c>
      <c r="L11" s="91">
        <v>0</v>
      </c>
      <c r="M11" s="25">
        <f>SUM(M6:M10)</f>
        <v>1129394.8599999999</v>
      </c>
      <c r="N11" s="25">
        <f>SUM(N6:N10)</f>
        <v>437500</v>
      </c>
      <c r="O11" s="25"/>
      <c r="P11" s="6"/>
    </row>
    <row r="12" spans="2:17" ht="15" customHeight="1" x14ac:dyDescent="0.25">
      <c r="B12" s="104" t="s">
        <v>49</v>
      </c>
      <c r="C12" s="80" t="s">
        <v>38</v>
      </c>
      <c r="D12" s="16">
        <v>1000000</v>
      </c>
      <c r="E12" s="17">
        <v>43347</v>
      </c>
      <c r="F12" s="17" t="s">
        <v>81</v>
      </c>
      <c r="G12" s="19" t="s">
        <v>20</v>
      </c>
      <c r="H12" s="20">
        <v>8.5000000000000006E-3</v>
      </c>
      <c r="I12" s="16">
        <v>0</v>
      </c>
      <c r="J12" s="16">
        <v>40000</v>
      </c>
      <c r="K12" s="16">
        <v>1010000</v>
      </c>
      <c r="L12" s="92">
        <f>I12-J12+K12</f>
        <v>970000</v>
      </c>
      <c r="M12" s="16">
        <v>1382.27</v>
      </c>
      <c r="N12" s="16">
        <v>7480.26</v>
      </c>
      <c r="O12" s="52" t="s">
        <v>50</v>
      </c>
      <c r="P12" s="6"/>
      <c r="Q12" s="7"/>
    </row>
    <row r="13" spans="2:17" ht="15" customHeight="1" x14ac:dyDescent="0.25">
      <c r="B13" s="105"/>
      <c r="C13" s="80" t="s">
        <v>29</v>
      </c>
      <c r="D13" s="16">
        <v>3500000</v>
      </c>
      <c r="E13" s="17">
        <v>41836</v>
      </c>
      <c r="F13" s="17" t="s">
        <v>81</v>
      </c>
      <c r="G13" s="19" t="s">
        <v>22</v>
      </c>
      <c r="H13" s="20">
        <v>1.2500000000000001E-2</v>
      </c>
      <c r="I13" s="16">
        <v>0</v>
      </c>
      <c r="J13" s="16">
        <v>0</v>
      </c>
      <c r="K13" s="16">
        <v>344500</v>
      </c>
      <c r="L13" s="92">
        <f>I13-J13+K13</f>
        <v>344500</v>
      </c>
      <c r="M13" s="16">
        <v>0</v>
      </c>
      <c r="N13" s="16">
        <v>17548.59</v>
      </c>
      <c r="O13" s="52" t="s">
        <v>50</v>
      </c>
      <c r="P13" s="6"/>
      <c r="Q13" s="7"/>
    </row>
    <row r="14" spans="2:17" ht="15" customHeight="1" x14ac:dyDescent="0.25">
      <c r="B14" s="105"/>
      <c r="C14" s="66" t="s">
        <v>23</v>
      </c>
      <c r="D14" s="16">
        <v>10000</v>
      </c>
      <c r="E14" s="17">
        <v>43452</v>
      </c>
      <c r="F14" s="17"/>
      <c r="G14" s="19"/>
      <c r="H14" s="20"/>
      <c r="I14" s="16"/>
      <c r="J14" s="16"/>
      <c r="K14" s="16"/>
      <c r="L14" s="92">
        <v>55</v>
      </c>
      <c r="M14" s="16"/>
      <c r="N14" s="16"/>
      <c r="O14" s="52"/>
      <c r="P14" s="6"/>
      <c r="Q14" s="7"/>
    </row>
    <row r="15" spans="2:17" ht="15" customHeight="1" x14ac:dyDescent="0.25">
      <c r="B15" s="128"/>
      <c r="C15" s="66" t="s">
        <v>38</v>
      </c>
      <c r="D15" s="16">
        <v>4000</v>
      </c>
      <c r="E15" s="17">
        <v>44698</v>
      </c>
      <c r="F15" s="17"/>
      <c r="G15" s="19"/>
      <c r="H15" s="20"/>
      <c r="I15" s="16"/>
      <c r="J15" s="16"/>
      <c r="K15" s="16"/>
      <c r="L15" s="92">
        <v>1568</v>
      </c>
      <c r="M15" s="16"/>
      <c r="N15" s="16"/>
      <c r="O15" s="52"/>
      <c r="P15" s="6"/>
      <c r="Q15" s="7"/>
    </row>
    <row r="16" spans="2:17" ht="15.75" customHeight="1" x14ac:dyDescent="0.25">
      <c r="B16" s="37"/>
      <c r="C16" s="33" t="s">
        <v>47</v>
      </c>
      <c r="D16" s="38">
        <f>SUM(D12:D15)</f>
        <v>4514000</v>
      </c>
      <c r="E16" s="38"/>
      <c r="F16" s="38"/>
      <c r="G16" s="25"/>
      <c r="H16" s="38"/>
      <c r="I16" s="25">
        <f>SUM(I12:I15)</f>
        <v>0</v>
      </c>
      <c r="J16" s="25">
        <f t="shared" ref="J16:N16" si="0">SUM(J12:J15)</f>
        <v>40000</v>
      </c>
      <c r="K16" s="25">
        <f t="shared" si="0"/>
        <v>1354500</v>
      </c>
      <c r="L16" s="91">
        <f t="shared" si="0"/>
        <v>1316123</v>
      </c>
      <c r="M16" s="25">
        <f t="shared" si="0"/>
        <v>1382.27</v>
      </c>
      <c r="N16" s="25">
        <f t="shared" si="0"/>
        <v>25028.85</v>
      </c>
      <c r="O16" s="25"/>
      <c r="P16" s="6"/>
      <c r="Q16" s="7"/>
    </row>
    <row r="17" spans="2:17" ht="15" customHeight="1" x14ac:dyDescent="0.25">
      <c r="B17" s="104" t="s">
        <v>82</v>
      </c>
      <c r="C17" s="26" t="s">
        <v>23</v>
      </c>
      <c r="D17" s="28">
        <v>25000</v>
      </c>
      <c r="E17" s="29">
        <v>39961</v>
      </c>
      <c r="F17" s="29" t="s">
        <v>81</v>
      </c>
      <c r="G17" s="19" t="s">
        <v>22</v>
      </c>
      <c r="H17" s="82">
        <v>4.7500000000000001E-2</v>
      </c>
      <c r="I17" s="16">
        <v>0</v>
      </c>
      <c r="J17" s="16">
        <v>0</v>
      </c>
      <c r="K17" s="16">
        <v>20000</v>
      </c>
      <c r="L17" s="92">
        <f t="shared" ref="L17:L21" si="1">I17-J17+K17</f>
        <v>20000</v>
      </c>
      <c r="M17" s="16">
        <v>226.9</v>
      </c>
      <c r="N17" s="16">
        <v>1091.02</v>
      </c>
      <c r="O17" s="16"/>
      <c r="P17" s="6"/>
      <c r="Q17" s="7"/>
    </row>
    <row r="18" spans="2:17" ht="15" customHeight="1" x14ac:dyDescent="0.25">
      <c r="B18" s="105"/>
      <c r="C18" s="9" t="s">
        <v>23</v>
      </c>
      <c r="D18" s="16">
        <v>200000</v>
      </c>
      <c r="E18" s="17">
        <v>39961</v>
      </c>
      <c r="F18" s="17" t="s">
        <v>81</v>
      </c>
      <c r="G18" s="19" t="s">
        <v>22</v>
      </c>
      <c r="H18" s="20">
        <v>4.7500000000000001E-2</v>
      </c>
      <c r="I18" s="16">
        <v>0</v>
      </c>
      <c r="J18" s="16">
        <v>737500</v>
      </c>
      <c r="K18" s="16">
        <v>922500</v>
      </c>
      <c r="L18" s="92">
        <f t="shared" si="1"/>
        <v>185000</v>
      </c>
      <c r="M18" s="16">
        <v>6236.5</v>
      </c>
      <c r="N18" s="16">
        <v>4542.6400000000003</v>
      </c>
      <c r="O18" s="16"/>
      <c r="P18" s="6"/>
      <c r="Q18" s="7"/>
    </row>
    <row r="19" spans="2:17" ht="15" customHeight="1" x14ac:dyDescent="0.25">
      <c r="B19" s="105"/>
      <c r="C19" s="66" t="s">
        <v>29</v>
      </c>
      <c r="D19" s="67">
        <v>300000</v>
      </c>
      <c r="E19" s="68">
        <v>43544</v>
      </c>
      <c r="F19" s="68" t="s">
        <v>81</v>
      </c>
      <c r="G19" s="19" t="s">
        <v>22</v>
      </c>
      <c r="H19" s="20">
        <v>2.5000000000000001E-2</v>
      </c>
      <c r="I19" s="69">
        <v>0</v>
      </c>
      <c r="J19" s="67">
        <v>110000</v>
      </c>
      <c r="K19" s="67">
        <v>290000</v>
      </c>
      <c r="L19" s="92">
        <f t="shared" si="1"/>
        <v>180000</v>
      </c>
      <c r="M19" s="16">
        <v>19156.93</v>
      </c>
      <c r="N19" s="16">
        <v>0</v>
      </c>
      <c r="O19" s="71"/>
      <c r="P19" s="6"/>
      <c r="Q19" s="7"/>
    </row>
    <row r="20" spans="2:17" ht="15" customHeight="1" x14ac:dyDescent="0.25">
      <c r="B20" s="105"/>
      <c r="C20" s="66" t="s">
        <v>29</v>
      </c>
      <c r="D20" s="67">
        <v>540000</v>
      </c>
      <c r="E20" s="68">
        <v>44971</v>
      </c>
      <c r="F20" s="68" t="s">
        <v>139</v>
      </c>
      <c r="G20" s="19"/>
      <c r="H20" s="20"/>
      <c r="I20" s="69">
        <v>0</v>
      </c>
      <c r="J20" s="67">
        <v>0</v>
      </c>
      <c r="K20" s="67">
        <v>540000</v>
      </c>
      <c r="L20" s="92">
        <f t="shared" si="1"/>
        <v>540000</v>
      </c>
      <c r="M20" s="16">
        <v>17639.38</v>
      </c>
      <c r="N20" s="16">
        <v>2700</v>
      </c>
      <c r="O20" s="16"/>
      <c r="P20" s="6"/>
      <c r="Q20" s="7"/>
    </row>
    <row r="21" spans="2:17" ht="15" customHeight="1" x14ac:dyDescent="0.25">
      <c r="B21" s="128"/>
      <c r="C21" s="66" t="s">
        <v>23</v>
      </c>
      <c r="D21" s="67">
        <v>5000</v>
      </c>
      <c r="E21" s="74">
        <v>44317</v>
      </c>
      <c r="F21" s="74">
        <v>45473</v>
      </c>
      <c r="G21" s="101">
        <v>0.14199999999999999</v>
      </c>
      <c r="H21" s="101"/>
      <c r="I21" s="83">
        <v>6.99</v>
      </c>
      <c r="J21" s="83">
        <v>344</v>
      </c>
      <c r="K21" s="83">
        <v>886.38</v>
      </c>
      <c r="L21" s="93">
        <f t="shared" si="1"/>
        <v>549.37</v>
      </c>
      <c r="M21" s="84">
        <v>0</v>
      </c>
      <c r="N21" s="84">
        <v>75</v>
      </c>
      <c r="O21" s="16"/>
      <c r="P21" s="6"/>
      <c r="Q21" s="7"/>
    </row>
    <row r="22" spans="2:17" ht="15.75" customHeight="1" x14ac:dyDescent="0.25">
      <c r="B22" s="23"/>
      <c r="C22" s="33" t="s">
        <v>47</v>
      </c>
      <c r="D22" s="25">
        <f>SUM(D17:D21)</f>
        <v>1070000</v>
      </c>
      <c r="E22" s="25"/>
      <c r="F22" s="25"/>
      <c r="G22" s="25"/>
      <c r="H22" s="25"/>
      <c r="I22" s="25">
        <f t="shared" ref="I22" si="2">SUM(I17:I21)</f>
        <v>6.99</v>
      </c>
      <c r="J22" s="25">
        <f t="shared" ref="J22" si="3">SUM(J17:J21)</f>
        <v>847844</v>
      </c>
      <c r="K22" s="25">
        <f t="shared" ref="K22" si="4">SUM(K17:K21)</f>
        <v>1773386.38</v>
      </c>
      <c r="L22" s="91">
        <f t="shared" ref="L22" si="5">SUM(L17:L21)</f>
        <v>925549.37</v>
      </c>
      <c r="M22" s="25">
        <f t="shared" ref="M22" si="6">SUM(M17:M21)</f>
        <v>43259.710000000006</v>
      </c>
      <c r="N22" s="25">
        <f t="shared" ref="N22" si="7">SUM(N17:N21)</f>
        <v>8408.66</v>
      </c>
      <c r="O22" s="25"/>
      <c r="P22" s="6"/>
      <c r="Q22" s="7"/>
    </row>
    <row r="23" spans="2:17" ht="15" customHeight="1" x14ac:dyDescent="0.25">
      <c r="B23" s="9" t="s">
        <v>51</v>
      </c>
      <c r="C23" s="9" t="s">
        <v>29</v>
      </c>
      <c r="D23" s="16">
        <v>500000</v>
      </c>
      <c r="E23" s="17">
        <v>41559</v>
      </c>
      <c r="F23" s="17"/>
      <c r="G23" s="19" t="s">
        <v>20</v>
      </c>
      <c r="H23" s="20">
        <v>6.5000000000000002E-2</v>
      </c>
      <c r="I23" s="16">
        <v>130000</v>
      </c>
      <c r="J23" s="16">
        <v>613672.11</v>
      </c>
      <c r="K23" s="16">
        <v>613672.11</v>
      </c>
      <c r="L23" s="92">
        <f>I23-J23+K23</f>
        <v>130000</v>
      </c>
      <c r="M23" s="16">
        <v>2793.73</v>
      </c>
      <c r="N23" s="16">
        <v>4011.11</v>
      </c>
      <c r="O23" s="52"/>
      <c r="P23" s="6"/>
      <c r="Q23" s="7"/>
    </row>
    <row r="24" spans="2:17" ht="15.75" customHeight="1" x14ac:dyDescent="0.25">
      <c r="B24" s="23"/>
      <c r="C24" s="33" t="s">
        <v>47</v>
      </c>
      <c r="D24" s="25">
        <f>SUM(D23)</f>
        <v>500000</v>
      </c>
      <c r="E24" s="25"/>
      <c r="F24" s="56"/>
      <c r="G24" s="56"/>
      <c r="H24" s="56"/>
      <c r="I24" s="25">
        <f t="shared" ref="I24:N24" si="8">SUM(I23)</f>
        <v>130000</v>
      </c>
      <c r="J24" s="25">
        <f t="shared" si="8"/>
        <v>613672.11</v>
      </c>
      <c r="K24" s="25">
        <f t="shared" si="8"/>
        <v>613672.11</v>
      </c>
      <c r="L24" s="91">
        <f t="shared" si="8"/>
        <v>130000</v>
      </c>
      <c r="M24" s="25">
        <f t="shared" si="8"/>
        <v>2793.73</v>
      </c>
      <c r="N24" s="25">
        <f t="shared" si="8"/>
        <v>4011.11</v>
      </c>
      <c r="O24" s="25"/>
      <c r="P24" s="6"/>
      <c r="Q24" s="7"/>
    </row>
    <row r="25" spans="2:17" ht="15" customHeight="1" x14ac:dyDescent="0.25">
      <c r="B25" s="104" t="s">
        <v>57</v>
      </c>
      <c r="C25" s="9" t="s">
        <v>58</v>
      </c>
      <c r="D25" s="16">
        <v>100000</v>
      </c>
      <c r="E25" s="17">
        <v>38394</v>
      </c>
      <c r="F25" s="17" t="s">
        <v>81</v>
      </c>
      <c r="G25" s="19" t="s">
        <v>20</v>
      </c>
      <c r="H25" s="20">
        <v>3.2500000000000001E-2</v>
      </c>
      <c r="I25" s="16">
        <v>0</v>
      </c>
      <c r="J25" s="16">
        <v>0</v>
      </c>
      <c r="K25" s="16">
        <v>0</v>
      </c>
      <c r="L25" s="92">
        <v>0</v>
      </c>
      <c r="M25" s="16"/>
      <c r="N25" s="16">
        <v>730.86</v>
      </c>
      <c r="O25" s="16"/>
      <c r="P25" s="6"/>
      <c r="Q25" s="7"/>
    </row>
    <row r="26" spans="2:17" ht="15" customHeight="1" x14ac:dyDescent="0.25">
      <c r="B26" s="128"/>
      <c r="C26" s="9" t="s">
        <v>58</v>
      </c>
      <c r="D26" s="85">
        <v>3000</v>
      </c>
      <c r="E26" s="86">
        <v>43494</v>
      </c>
      <c r="F26" s="86"/>
      <c r="G26" s="101">
        <v>0.18096000000000001</v>
      </c>
      <c r="H26" s="101"/>
      <c r="I26" s="85">
        <v>0</v>
      </c>
      <c r="J26" s="85">
        <v>79.430000000000007</v>
      </c>
      <c r="K26" s="85">
        <v>95.82</v>
      </c>
      <c r="L26" s="94">
        <f>I26-J26+K26</f>
        <v>16.389999999999986</v>
      </c>
      <c r="M26" s="85"/>
      <c r="N26" s="85"/>
      <c r="O26" s="85"/>
      <c r="P26" s="6"/>
      <c r="Q26" s="7"/>
    </row>
    <row r="27" spans="2:17" ht="15.75" customHeight="1" x14ac:dyDescent="0.25">
      <c r="B27" s="23"/>
      <c r="C27" s="33" t="s">
        <v>47</v>
      </c>
      <c r="D27" s="25">
        <f>SUM(D25:D26)</f>
        <v>103000</v>
      </c>
      <c r="E27" s="25"/>
      <c r="F27" s="56"/>
      <c r="G27" s="56"/>
      <c r="H27" s="56"/>
      <c r="I27" s="25">
        <f t="shared" ref="I27:N27" si="9">SUM(I25:I26)</f>
        <v>0</v>
      </c>
      <c r="J27" s="25">
        <f t="shared" si="9"/>
        <v>79.430000000000007</v>
      </c>
      <c r="K27" s="25">
        <f t="shared" si="9"/>
        <v>95.82</v>
      </c>
      <c r="L27" s="91">
        <f t="shared" si="9"/>
        <v>16.389999999999986</v>
      </c>
      <c r="M27" s="25">
        <f t="shared" si="9"/>
        <v>0</v>
      </c>
      <c r="N27" s="25">
        <f t="shared" si="9"/>
        <v>730.86</v>
      </c>
      <c r="O27" s="25"/>
      <c r="P27" s="6"/>
      <c r="Q27" s="7"/>
    </row>
    <row r="28" spans="2:17" ht="15.75" customHeight="1" x14ac:dyDescent="0.25">
      <c r="B28" s="81" t="s">
        <v>60</v>
      </c>
      <c r="C28" s="81" t="s">
        <v>26</v>
      </c>
      <c r="D28" s="85">
        <v>1500000</v>
      </c>
      <c r="E28" s="86">
        <v>44712</v>
      </c>
      <c r="F28" s="86" t="s">
        <v>63</v>
      </c>
      <c r="G28" s="19" t="s">
        <v>22</v>
      </c>
      <c r="H28" s="76">
        <v>1.2500000000000001E-2</v>
      </c>
      <c r="I28" s="85">
        <v>0</v>
      </c>
      <c r="J28" s="85">
        <v>4667500</v>
      </c>
      <c r="K28" s="85">
        <v>6100000</v>
      </c>
      <c r="L28" s="94">
        <f>I28-J28+K28</f>
        <v>1432500</v>
      </c>
      <c r="M28" s="85">
        <v>25960.760000000002</v>
      </c>
      <c r="N28" s="85">
        <v>2547.4900000000002</v>
      </c>
      <c r="O28" s="85"/>
      <c r="P28" s="6"/>
      <c r="Q28" s="7"/>
    </row>
    <row r="29" spans="2:17" ht="15.75" customHeight="1" x14ac:dyDescent="0.25">
      <c r="B29" s="23"/>
      <c r="C29" s="33" t="s">
        <v>47</v>
      </c>
      <c r="D29" s="25">
        <f>SUM(D28:D28)</f>
        <v>1500000</v>
      </c>
      <c r="E29" s="25"/>
      <c r="F29" s="25"/>
      <c r="G29" s="25"/>
      <c r="H29" s="25"/>
      <c r="I29" s="25">
        <f t="shared" ref="I29:N29" si="10">SUM(I28:I28)</f>
        <v>0</v>
      </c>
      <c r="J29" s="25">
        <f t="shared" si="10"/>
        <v>4667500</v>
      </c>
      <c r="K29" s="25">
        <f t="shared" si="10"/>
        <v>6100000</v>
      </c>
      <c r="L29" s="91">
        <f t="shared" si="10"/>
        <v>1432500</v>
      </c>
      <c r="M29" s="25">
        <f t="shared" si="10"/>
        <v>25960.760000000002</v>
      </c>
      <c r="N29" s="25">
        <f t="shared" si="10"/>
        <v>2547.4900000000002</v>
      </c>
      <c r="O29" s="25"/>
      <c r="P29" s="6"/>
      <c r="Q29" s="7"/>
    </row>
    <row r="30" spans="2:17" ht="15.75" customHeight="1" x14ac:dyDescent="0.25">
      <c r="B30" s="104" t="s">
        <v>83</v>
      </c>
      <c r="C30" s="9" t="s">
        <v>23</v>
      </c>
      <c r="D30" s="16">
        <v>300000</v>
      </c>
      <c r="E30" s="17">
        <v>37246</v>
      </c>
      <c r="F30" s="17" t="s">
        <v>81</v>
      </c>
      <c r="G30" s="19" t="s">
        <v>22</v>
      </c>
      <c r="H30" s="20">
        <v>4.4999999999999998E-2</v>
      </c>
      <c r="I30" s="16"/>
      <c r="J30" s="16"/>
      <c r="K30" s="16"/>
      <c r="L30" s="92">
        <f t="shared" ref="L30:L34" si="11">I30-J30+K30</f>
        <v>0</v>
      </c>
      <c r="M30" s="16"/>
      <c r="N30" s="16"/>
      <c r="O30" s="16"/>
      <c r="P30" s="6"/>
      <c r="Q30" s="7"/>
    </row>
    <row r="31" spans="2:17" ht="15.75" customHeight="1" x14ac:dyDescent="0.25">
      <c r="B31" s="105"/>
      <c r="C31" s="9" t="s">
        <v>23</v>
      </c>
      <c r="D31" s="16">
        <v>5000</v>
      </c>
      <c r="E31" s="17"/>
      <c r="F31" s="17"/>
      <c r="G31" s="19"/>
      <c r="H31" s="20"/>
      <c r="I31" s="16">
        <v>0</v>
      </c>
      <c r="J31" s="16">
        <v>5669.52</v>
      </c>
      <c r="K31" s="16">
        <v>5849.4</v>
      </c>
      <c r="L31" s="92">
        <f t="shared" si="11"/>
        <v>179.8799999999992</v>
      </c>
      <c r="M31" s="16"/>
      <c r="N31" s="16"/>
      <c r="O31" s="52"/>
      <c r="P31" s="6"/>
      <c r="Q31" s="7"/>
    </row>
    <row r="32" spans="2:17" ht="15.75" customHeight="1" x14ac:dyDescent="0.25">
      <c r="B32" s="105"/>
      <c r="C32" s="9" t="s">
        <v>23</v>
      </c>
      <c r="D32" s="16">
        <v>5000</v>
      </c>
      <c r="E32" s="17"/>
      <c r="F32" s="17"/>
      <c r="G32" s="19"/>
      <c r="H32" s="20"/>
      <c r="I32" s="16">
        <v>261.77999999999997</v>
      </c>
      <c r="J32" s="16">
        <v>4679.28</v>
      </c>
      <c r="K32" s="16">
        <v>4683.4799999999996</v>
      </c>
      <c r="L32" s="92">
        <v>4.2</v>
      </c>
      <c r="M32" s="16"/>
      <c r="N32" s="16"/>
      <c r="O32" s="52"/>
      <c r="P32" s="6"/>
      <c r="Q32" s="7"/>
    </row>
    <row r="33" spans="2:17" ht="15.75" customHeight="1" x14ac:dyDescent="0.25">
      <c r="B33" s="105"/>
      <c r="C33" s="9" t="s">
        <v>23</v>
      </c>
      <c r="D33" s="16">
        <v>1080000</v>
      </c>
      <c r="E33" s="17">
        <v>45005</v>
      </c>
      <c r="F33" s="17">
        <v>45169</v>
      </c>
      <c r="G33" s="19" t="s">
        <v>36</v>
      </c>
      <c r="H33" s="20">
        <v>4.2999999999999997E-2</v>
      </c>
      <c r="I33" s="16">
        <v>0</v>
      </c>
      <c r="J33" s="16"/>
      <c r="K33" s="16">
        <v>560000</v>
      </c>
      <c r="L33" s="92">
        <f t="shared" si="11"/>
        <v>560000</v>
      </c>
      <c r="M33" s="16"/>
      <c r="N33" s="16"/>
      <c r="O33" s="52"/>
      <c r="P33" s="6"/>
      <c r="Q33" s="7"/>
    </row>
    <row r="34" spans="2:17" ht="15.75" customHeight="1" x14ac:dyDescent="0.25">
      <c r="B34" s="128"/>
      <c r="C34" s="9" t="s">
        <v>23</v>
      </c>
      <c r="D34" s="16">
        <v>1150000</v>
      </c>
      <c r="E34" s="17"/>
      <c r="F34" s="17">
        <v>45535</v>
      </c>
      <c r="G34" s="19" t="s">
        <v>36</v>
      </c>
      <c r="H34" s="20">
        <v>4.2999999999999997E-2</v>
      </c>
      <c r="I34" s="16">
        <v>0</v>
      </c>
      <c r="J34" s="16"/>
      <c r="K34" s="16">
        <v>0</v>
      </c>
      <c r="L34" s="92">
        <f t="shared" si="11"/>
        <v>0</v>
      </c>
      <c r="M34" s="16"/>
      <c r="N34" s="16"/>
      <c r="O34" s="52"/>
      <c r="P34" s="6"/>
      <c r="Q34" s="7"/>
    </row>
    <row r="35" spans="2:17" ht="15.75" customHeight="1" x14ac:dyDescent="0.25">
      <c r="B35" s="23"/>
      <c r="C35" s="33" t="s">
        <v>47</v>
      </c>
      <c r="D35" s="25">
        <f>SUM(D30:D34)</f>
        <v>2540000</v>
      </c>
      <c r="E35" s="25"/>
      <c r="F35" s="56"/>
      <c r="G35" s="56"/>
      <c r="H35" s="56"/>
      <c r="I35" s="33">
        <f t="shared" ref="I35:N35" si="12">SUM(I30:I32)</f>
        <v>261.77999999999997</v>
      </c>
      <c r="J35" s="33">
        <f t="shared" si="12"/>
        <v>10348.799999999999</v>
      </c>
      <c r="K35" s="33">
        <f>SUM(K30:K34)</f>
        <v>570532.88</v>
      </c>
      <c r="L35" s="95">
        <f>SUM(L30:L34)</f>
        <v>560184.07999999996</v>
      </c>
      <c r="M35" s="33">
        <f t="shared" si="12"/>
        <v>0</v>
      </c>
      <c r="N35" s="33">
        <f t="shared" si="12"/>
        <v>0</v>
      </c>
      <c r="O35" s="33"/>
      <c r="P35" s="6"/>
      <c r="Q35" s="7"/>
    </row>
    <row r="36" spans="2:17" ht="15.75" customHeight="1" x14ac:dyDescent="0.25">
      <c r="B36" s="81" t="s">
        <v>134</v>
      </c>
      <c r="C36" s="81" t="s">
        <v>35</v>
      </c>
      <c r="D36" s="85">
        <v>4000</v>
      </c>
      <c r="E36" s="86">
        <v>44927</v>
      </c>
      <c r="F36" s="86">
        <v>45291</v>
      </c>
      <c r="G36" s="19"/>
      <c r="H36" s="76"/>
      <c r="I36" s="85">
        <v>0</v>
      </c>
      <c r="J36" s="85">
        <v>8085.6</v>
      </c>
      <c r="K36" s="85">
        <v>8195.5</v>
      </c>
      <c r="L36" s="94">
        <f>I36-J36+K36</f>
        <v>109.89999999999964</v>
      </c>
      <c r="M36" s="85"/>
      <c r="N36" s="85"/>
      <c r="O36" s="85"/>
      <c r="P36" s="6"/>
      <c r="Q36" s="7"/>
    </row>
    <row r="37" spans="2:17" ht="15.75" customHeight="1" x14ac:dyDescent="0.25">
      <c r="B37" s="23"/>
      <c r="C37" s="33" t="s">
        <v>47</v>
      </c>
      <c r="D37" s="25">
        <f>SUM(D36:D36)</f>
        <v>4000</v>
      </c>
      <c r="E37" s="25"/>
      <c r="F37" s="25"/>
      <c r="G37" s="25"/>
      <c r="H37" s="25"/>
      <c r="I37" s="25">
        <f t="shared" ref="I37" si="13">SUM(I36:I36)</f>
        <v>0</v>
      </c>
      <c r="J37" s="25">
        <f t="shared" ref="J37" si="14">SUM(J36:J36)</f>
        <v>8085.6</v>
      </c>
      <c r="K37" s="25">
        <f t="shared" ref="K37" si="15">SUM(K36:K36)</f>
        <v>8195.5</v>
      </c>
      <c r="L37" s="91">
        <f t="shared" ref="L37" si="16">SUM(L36:L36)</f>
        <v>109.89999999999964</v>
      </c>
      <c r="M37" s="25">
        <f t="shared" ref="M37" si="17">SUM(M36:M36)</f>
        <v>0</v>
      </c>
      <c r="N37" s="25">
        <f t="shared" ref="N37" si="18">SUM(N36:N36)</f>
        <v>0</v>
      </c>
      <c r="O37" s="25"/>
      <c r="P37" s="6"/>
      <c r="Q37" s="7"/>
    </row>
    <row r="38" spans="2:17" ht="15.75" customHeight="1" x14ac:dyDescent="0.25">
      <c r="B38" s="87" t="s">
        <v>84</v>
      </c>
      <c r="C38" s="9" t="s">
        <v>26</v>
      </c>
      <c r="D38" s="16">
        <v>2916706.43</v>
      </c>
      <c r="E38" s="17">
        <v>45258</v>
      </c>
      <c r="F38" s="17">
        <v>45318</v>
      </c>
      <c r="G38" s="19" t="s">
        <v>36</v>
      </c>
      <c r="H38" s="20">
        <v>1.2500000000000001E-2</v>
      </c>
      <c r="I38" s="16">
        <v>0</v>
      </c>
      <c r="J38" s="16">
        <v>0</v>
      </c>
      <c r="K38" s="16">
        <v>2916706.43</v>
      </c>
      <c r="L38" s="92">
        <f>I38-J38+K38</f>
        <v>2916706.43</v>
      </c>
      <c r="M38" s="16">
        <v>0</v>
      </c>
      <c r="N38" s="16">
        <v>10208.472505000002</v>
      </c>
      <c r="O38" s="52" t="s">
        <v>50</v>
      </c>
      <c r="P38" s="6"/>
      <c r="Q38" s="7"/>
    </row>
    <row r="39" spans="2:17" ht="15.75" customHeight="1" x14ac:dyDescent="0.25">
      <c r="B39" s="23"/>
      <c r="C39" s="33" t="s">
        <v>47</v>
      </c>
      <c r="D39" s="25">
        <f>SUM(D38:D38)</f>
        <v>2916706.43</v>
      </c>
      <c r="E39" s="25"/>
      <c r="F39" s="56"/>
      <c r="G39" s="56"/>
      <c r="H39" s="56"/>
      <c r="I39" s="33">
        <f t="shared" ref="I39:N39" si="19">SUM(I38:I38)</f>
        <v>0</v>
      </c>
      <c r="J39" s="33">
        <f t="shared" si="19"/>
        <v>0</v>
      </c>
      <c r="K39" s="33">
        <f t="shared" si="19"/>
        <v>2916706.43</v>
      </c>
      <c r="L39" s="33">
        <f t="shared" si="19"/>
        <v>2916706.43</v>
      </c>
      <c r="M39" s="33">
        <f t="shared" si="19"/>
        <v>0</v>
      </c>
      <c r="N39" s="33">
        <f t="shared" si="19"/>
        <v>10208.472505000002</v>
      </c>
      <c r="O39" s="33"/>
      <c r="P39" s="6"/>
      <c r="Q39" s="7"/>
    </row>
    <row r="40" spans="2:17" ht="15.75" customHeight="1" x14ac:dyDescent="0.25">
      <c r="B40" s="129" t="s">
        <v>85</v>
      </c>
      <c r="C40" s="15" t="s">
        <v>26</v>
      </c>
      <c r="D40" s="16">
        <v>6393111</v>
      </c>
      <c r="E40" s="17">
        <v>45259</v>
      </c>
      <c r="F40" s="17">
        <v>45320</v>
      </c>
      <c r="G40" s="19" t="s">
        <v>36</v>
      </c>
      <c r="H40" s="20">
        <v>1.2500000000000001E-2</v>
      </c>
      <c r="I40" s="16">
        <v>0</v>
      </c>
      <c r="J40" s="16">
        <v>0</v>
      </c>
      <c r="K40" s="16">
        <v>6393111.3300000001</v>
      </c>
      <c r="L40" s="16">
        <f t="shared" ref="L40:L41" si="20">I40-J40+K40</f>
        <v>6393111.3300000001</v>
      </c>
      <c r="M40" s="16">
        <v>0</v>
      </c>
      <c r="N40" s="16">
        <v>22376</v>
      </c>
      <c r="O40" s="52" t="s">
        <v>50</v>
      </c>
      <c r="P40" s="6"/>
      <c r="Q40" s="7"/>
    </row>
    <row r="41" spans="2:17" ht="15.75" customHeight="1" x14ac:dyDescent="0.25">
      <c r="B41" s="130"/>
      <c r="C41" s="15" t="s">
        <v>24</v>
      </c>
      <c r="D41" s="16">
        <v>9309818</v>
      </c>
      <c r="E41" s="17">
        <v>45267</v>
      </c>
      <c r="F41" s="17">
        <v>45322</v>
      </c>
      <c r="G41" s="19" t="s">
        <v>36</v>
      </c>
      <c r="H41" s="20">
        <v>1.35E-2</v>
      </c>
      <c r="I41" s="16">
        <v>0</v>
      </c>
      <c r="J41" s="16">
        <v>0</v>
      </c>
      <c r="K41" s="16">
        <v>9309818</v>
      </c>
      <c r="L41" s="16">
        <f t="shared" si="20"/>
        <v>9309818</v>
      </c>
      <c r="M41" s="16">
        <v>0</v>
      </c>
      <c r="N41" s="16">
        <v>32584</v>
      </c>
      <c r="O41" s="52" t="s">
        <v>50</v>
      </c>
      <c r="P41" s="6"/>
      <c r="Q41" s="7"/>
    </row>
    <row r="42" spans="2:17" ht="15.75" customHeight="1" x14ac:dyDescent="0.25">
      <c r="B42" s="23"/>
      <c r="C42" s="33" t="s">
        <v>47</v>
      </c>
      <c r="D42" s="25">
        <f>SUM(D40:D41)</f>
        <v>15702929</v>
      </c>
      <c r="E42" s="25"/>
      <c r="F42" s="56"/>
      <c r="G42" s="56"/>
      <c r="H42" s="56"/>
      <c r="I42" s="33">
        <f t="shared" ref="I42:N42" si="21">SUM(I40:I41)</f>
        <v>0</v>
      </c>
      <c r="J42" s="33">
        <f t="shared" si="21"/>
        <v>0</v>
      </c>
      <c r="K42" s="33">
        <f t="shared" si="21"/>
        <v>15702929.33</v>
      </c>
      <c r="L42" s="33">
        <f t="shared" si="21"/>
        <v>15702929.33</v>
      </c>
      <c r="M42" s="33">
        <f t="shared" si="21"/>
        <v>0</v>
      </c>
      <c r="N42" s="33">
        <f t="shared" si="21"/>
        <v>54960</v>
      </c>
      <c r="O42" s="33"/>
      <c r="P42" s="6"/>
      <c r="Q42" s="7"/>
    </row>
    <row r="43" spans="2:17" ht="15.75" customHeight="1" x14ac:dyDescent="0.25">
      <c r="B43" s="26" t="s">
        <v>86</v>
      </c>
      <c r="C43" s="36" t="s">
        <v>23</v>
      </c>
      <c r="D43" s="85">
        <v>1000000</v>
      </c>
      <c r="E43" s="86">
        <v>43744</v>
      </c>
      <c r="F43" s="17" t="s">
        <v>81</v>
      </c>
      <c r="G43" s="19" t="s">
        <v>22</v>
      </c>
      <c r="H43" s="76">
        <v>4.4999999999999998E-2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5"/>
      <c r="P43" s="6"/>
      <c r="Q43" s="7"/>
    </row>
    <row r="44" spans="2:17" ht="15.75" customHeight="1" x14ac:dyDescent="0.25">
      <c r="B44" s="23"/>
      <c r="C44" s="33" t="s">
        <v>47</v>
      </c>
      <c r="D44" s="25">
        <f>SUM(D43)</f>
        <v>1000000</v>
      </c>
      <c r="E44" s="25"/>
      <c r="F44" s="56"/>
      <c r="G44" s="56"/>
      <c r="H44" s="56"/>
      <c r="I44" s="25">
        <f t="shared" ref="I44:N44" si="22">SUM(I43)</f>
        <v>0</v>
      </c>
      <c r="J44" s="25">
        <f t="shared" si="22"/>
        <v>0</v>
      </c>
      <c r="K44" s="25">
        <f t="shared" si="22"/>
        <v>0</v>
      </c>
      <c r="L44" s="25">
        <f t="shared" si="22"/>
        <v>0</v>
      </c>
      <c r="M44" s="25">
        <f t="shared" si="22"/>
        <v>0</v>
      </c>
      <c r="N44" s="25">
        <f t="shared" si="22"/>
        <v>0</v>
      </c>
      <c r="O44" s="25"/>
      <c r="P44" s="6"/>
      <c r="Q44" s="7"/>
    </row>
    <row r="45" spans="2:17" ht="15" customHeight="1" x14ac:dyDescent="0.25">
      <c r="B45" s="105" t="s">
        <v>68</v>
      </c>
      <c r="C45" s="15" t="s">
        <v>24</v>
      </c>
      <c r="D45" s="16">
        <v>96872.48</v>
      </c>
      <c r="E45" s="17">
        <v>44331</v>
      </c>
      <c r="F45" s="17">
        <v>45427</v>
      </c>
      <c r="G45" s="19" t="s">
        <v>20</v>
      </c>
      <c r="H45" s="20">
        <v>0.01</v>
      </c>
      <c r="I45" s="16">
        <v>43377.569999999992</v>
      </c>
      <c r="J45" s="16">
        <v>32345.45</v>
      </c>
      <c r="K45" s="16">
        <v>0</v>
      </c>
      <c r="L45" s="16">
        <f t="shared" ref="L45:L52" si="23">I45-J45+K45</f>
        <v>11032.119999999992</v>
      </c>
      <c r="M45" s="16">
        <v>844.29</v>
      </c>
      <c r="N45" s="16">
        <v>5318.0384000000013</v>
      </c>
      <c r="O45" s="16"/>
      <c r="P45" s="6"/>
      <c r="Q45" s="7"/>
    </row>
    <row r="46" spans="2:17" ht="15" customHeight="1" x14ac:dyDescent="0.25">
      <c r="B46" s="105"/>
      <c r="C46" s="15" t="s">
        <v>23</v>
      </c>
      <c r="D46" s="16">
        <v>1000000</v>
      </c>
      <c r="E46" s="17">
        <v>44314</v>
      </c>
      <c r="F46" s="17" t="s">
        <v>81</v>
      </c>
      <c r="G46" s="19" t="s">
        <v>22</v>
      </c>
      <c r="H46" s="20">
        <v>2.9000000000000001E-2</v>
      </c>
      <c r="I46" s="16">
        <v>0</v>
      </c>
      <c r="J46" s="16">
        <v>0</v>
      </c>
      <c r="K46" s="16">
        <v>0</v>
      </c>
      <c r="L46" s="16">
        <f t="shared" si="23"/>
        <v>0</v>
      </c>
      <c r="M46" s="16">
        <v>0</v>
      </c>
      <c r="N46" s="16">
        <v>19032</v>
      </c>
      <c r="O46" s="52" t="s">
        <v>50</v>
      </c>
      <c r="P46" s="6"/>
      <c r="Q46" s="7"/>
    </row>
    <row r="47" spans="2:17" ht="15" customHeight="1" x14ac:dyDescent="0.25">
      <c r="B47" s="105"/>
      <c r="C47" s="15" t="s">
        <v>23</v>
      </c>
      <c r="D47" s="16">
        <v>24600</v>
      </c>
      <c r="E47" s="17">
        <v>43082</v>
      </c>
      <c r="F47" s="17">
        <v>45444</v>
      </c>
      <c r="G47" s="19" t="s">
        <v>22</v>
      </c>
      <c r="H47" s="20">
        <v>1.4999999999999999E-2</v>
      </c>
      <c r="I47" s="16">
        <v>7497.6499999999978</v>
      </c>
      <c r="J47" s="16">
        <v>4902.4100000000008</v>
      </c>
      <c r="K47" s="16">
        <v>0</v>
      </c>
      <c r="L47" s="16">
        <f t="shared" si="23"/>
        <v>2595.2399999999971</v>
      </c>
      <c r="M47" s="16">
        <v>219.03000000000003</v>
      </c>
      <c r="N47" s="16">
        <v>833.81</v>
      </c>
      <c r="O47" s="52"/>
      <c r="P47" s="6"/>
      <c r="Q47" s="7"/>
    </row>
    <row r="48" spans="2:17" ht="15" customHeight="1" x14ac:dyDescent="0.25">
      <c r="B48" s="128"/>
      <c r="C48" s="15" t="s">
        <v>23</v>
      </c>
      <c r="D48" s="85">
        <v>37256.800000000003</v>
      </c>
      <c r="E48" s="86">
        <v>44576</v>
      </c>
      <c r="F48" s="86">
        <v>45672</v>
      </c>
      <c r="G48" s="19" t="s">
        <v>22</v>
      </c>
      <c r="H48" s="76">
        <v>1.2500000000000001E-2</v>
      </c>
      <c r="I48" s="85">
        <v>25211.68</v>
      </c>
      <c r="J48" s="85">
        <v>11989.4</v>
      </c>
      <c r="K48" s="85">
        <v>0</v>
      </c>
      <c r="L48" s="16">
        <f t="shared" si="23"/>
        <v>13222.28</v>
      </c>
      <c r="M48" s="85">
        <v>779.31</v>
      </c>
      <c r="N48" s="85">
        <v>2042.9600000000005</v>
      </c>
      <c r="O48" s="85"/>
      <c r="P48" s="6"/>
      <c r="Q48" s="7"/>
    </row>
    <row r="49" spans="2:17" ht="15.75" customHeight="1" x14ac:dyDescent="0.25">
      <c r="B49" s="37"/>
      <c r="C49" s="33" t="s">
        <v>47</v>
      </c>
      <c r="D49" s="38">
        <f>SUM(D45:D48)</f>
        <v>1158729.28</v>
      </c>
      <c r="E49" s="38"/>
      <c r="F49" s="41"/>
      <c r="G49" s="56"/>
      <c r="H49" s="41"/>
      <c r="I49" s="42">
        <f t="shared" ref="I49:N49" si="24">SUM(I45:I48)</f>
        <v>76086.899999999994</v>
      </c>
      <c r="J49" s="42">
        <f t="shared" si="24"/>
        <v>49237.26</v>
      </c>
      <c r="K49" s="42">
        <f t="shared" si="24"/>
        <v>0</v>
      </c>
      <c r="L49" s="33">
        <f t="shared" si="24"/>
        <v>26849.639999999992</v>
      </c>
      <c r="M49" s="42">
        <f t="shared" si="24"/>
        <v>1842.6299999999999</v>
      </c>
      <c r="N49" s="42">
        <f t="shared" si="24"/>
        <v>27226.808400000002</v>
      </c>
      <c r="O49" s="42"/>
      <c r="P49" s="6"/>
      <c r="Q49" s="7"/>
    </row>
    <row r="50" spans="2:17" ht="15" customHeight="1" x14ac:dyDescent="0.25">
      <c r="B50" s="104" t="s">
        <v>69</v>
      </c>
      <c r="C50" s="27" t="s">
        <v>23</v>
      </c>
      <c r="D50" s="28">
        <v>500000</v>
      </c>
      <c r="E50" s="29">
        <v>35685</v>
      </c>
      <c r="F50" s="29" t="s">
        <v>81</v>
      </c>
      <c r="G50" s="19" t="s">
        <v>22</v>
      </c>
      <c r="H50" s="82">
        <v>3.5000000000000003E-2</v>
      </c>
      <c r="I50" s="28">
        <v>227000</v>
      </c>
      <c r="J50" s="28">
        <v>2514500</v>
      </c>
      <c r="K50" s="28">
        <v>2287500</v>
      </c>
      <c r="L50" s="16">
        <f t="shared" si="23"/>
        <v>0</v>
      </c>
      <c r="M50" s="28">
        <v>6186.94</v>
      </c>
      <c r="N50" s="28">
        <v>9000</v>
      </c>
      <c r="O50" s="28"/>
      <c r="P50" s="6"/>
    </row>
    <row r="51" spans="2:17" ht="15" customHeight="1" x14ac:dyDescent="0.25">
      <c r="B51" s="105"/>
      <c r="C51" s="15" t="s">
        <v>29</v>
      </c>
      <c r="D51" s="16">
        <v>250000</v>
      </c>
      <c r="E51" s="17">
        <v>41684</v>
      </c>
      <c r="F51" s="17" t="s">
        <v>81</v>
      </c>
      <c r="G51" s="19" t="s">
        <v>22</v>
      </c>
      <c r="H51" s="20">
        <v>3.5000000000000003E-2</v>
      </c>
      <c r="I51" s="16">
        <v>250000</v>
      </c>
      <c r="J51" s="16">
        <v>902086.77</v>
      </c>
      <c r="K51" s="16">
        <v>757086.77</v>
      </c>
      <c r="L51" s="16">
        <f t="shared" si="23"/>
        <v>105000</v>
      </c>
      <c r="M51" s="16">
        <v>5003.6400000000003</v>
      </c>
      <c r="N51" s="16">
        <v>2499.9900000000002</v>
      </c>
      <c r="O51" s="52" t="s">
        <v>50</v>
      </c>
      <c r="P51" s="6"/>
    </row>
    <row r="52" spans="2:17" ht="15" customHeight="1" x14ac:dyDescent="0.25">
      <c r="B52" s="105"/>
      <c r="C52" s="15" t="s">
        <v>29</v>
      </c>
      <c r="D52" s="16">
        <v>2000000</v>
      </c>
      <c r="E52" s="17">
        <v>45051</v>
      </c>
      <c r="F52" s="17">
        <v>45289</v>
      </c>
      <c r="G52" s="19" t="s">
        <v>55</v>
      </c>
      <c r="H52" s="20">
        <v>8.0000000000000004E-4</v>
      </c>
      <c r="I52" s="16">
        <v>0</v>
      </c>
      <c r="J52" s="16">
        <v>2000000</v>
      </c>
      <c r="K52" s="16">
        <v>2000000</v>
      </c>
      <c r="L52" s="16">
        <f t="shared" si="23"/>
        <v>0</v>
      </c>
      <c r="M52" s="16">
        <v>34304.42</v>
      </c>
      <c r="N52" s="16">
        <v>5916.62</v>
      </c>
      <c r="O52" s="52"/>
      <c r="P52" s="6"/>
    </row>
    <row r="53" spans="2:17" ht="15" customHeight="1" x14ac:dyDescent="0.25">
      <c r="B53" s="105"/>
      <c r="C53" s="15" t="s">
        <v>58</v>
      </c>
      <c r="D53" s="16">
        <v>500000</v>
      </c>
      <c r="E53" s="17">
        <v>40648</v>
      </c>
      <c r="F53" s="17" t="s">
        <v>81</v>
      </c>
      <c r="G53" s="19" t="s">
        <v>22</v>
      </c>
      <c r="H53" s="20">
        <v>2.35E-2</v>
      </c>
      <c r="I53" s="16">
        <v>500000</v>
      </c>
      <c r="J53" s="16">
        <v>2273027.88</v>
      </c>
      <c r="K53" s="16">
        <v>2187527.88</v>
      </c>
      <c r="L53" s="16">
        <v>400000</v>
      </c>
      <c r="M53" s="16">
        <v>6688.89</v>
      </c>
      <c r="N53" s="16">
        <v>2998.13</v>
      </c>
      <c r="O53" s="16"/>
      <c r="P53" s="6"/>
    </row>
    <row r="54" spans="2:17" ht="15" customHeight="1" x14ac:dyDescent="0.25">
      <c r="B54" s="128"/>
      <c r="C54" s="36" t="s">
        <v>23</v>
      </c>
      <c r="D54" s="85">
        <v>5000</v>
      </c>
      <c r="E54" s="86" t="s">
        <v>63</v>
      </c>
      <c r="F54" s="86" t="s">
        <v>63</v>
      </c>
      <c r="G54" s="137" t="s">
        <v>114</v>
      </c>
      <c r="H54" s="137"/>
      <c r="I54" s="85">
        <v>4</v>
      </c>
      <c r="J54" s="85"/>
      <c r="K54" s="85"/>
      <c r="L54" s="85">
        <v>4.37</v>
      </c>
      <c r="M54" s="85">
        <v>0</v>
      </c>
      <c r="N54" s="85">
        <v>50.4</v>
      </c>
      <c r="O54" s="85"/>
      <c r="P54" s="6"/>
    </row>
    <row r="55" spans="2:17" ht="15.75" customHeight="1" x14ac:dyDescent="0.25">
      <c r="B55" s="23"/>
      <c r="C55" s="33" t="s">
        <v>47</v>
      </c>
      <c r="D55" s="25">
        <f>SUM(D50:D54)</f>
        <v>3255000</v>
      </c>
      <c r="E55" s="25"/>
      <c r="F55" s="56"/>
      <c r="G55" s="56"/>
      <c r="H55" s="56"/>
      <c r="I55" s="33">
        <f t="shared" ref="I55:N55" si="25">SUM(I50:I54)</f>
        <v>977004</v>
      </c>
      <c r="J55" s="33">
        <f t="shared" si="25"/>
        <v>7689614.6499999994</v>
      </c>
      <c r="K55" s="33">
        <f t="shared" si="25"/>
        <v>7232114.6499999994</v>
      </c>
      <c r="L55" s="33">
        <f>SUM(L50:L54)</f>
        <v>505004.37</v>
      </c>
      <c r="M55" s="33">
        <f t="shared" si="25"/>
        <v>52183.89</v>
      </c>
      <c r="N55" s="33">
        <f t="shared" si="25"/>
        <v>20465.140000000003</v>
      </c>
      <c r="O55" s="33"/>
      <c r="P55" s="6"/>
    </row>
    <row r="56" spans="2:17" ht="15.75" customHeight="1" x14ac:dyDescent="0.25">
      <c r="B56" s="97" t="s">
        <v>70</v>
      </c>
      <c r="C56" s="9" t="s">
        <v>24</v>
      </c>
      <c r="D56" s="16">
        <v>9000000</v>
      </c>
      <c r="E56" s="17">
        <v>37695</v>
      </c>
      <c r="F56" s="17" t="s">
        <v>81</v>
      </c>
      <c r="G56" s="16" t="s">
        <v>20</v>
      </c>
      <c r="H56" s="20">
        <v>8.0000000000000002E-3</v>
      </c>
      <c r="I56" s="16">
        <v>0</v>
      </c>
      <c r="J56" s="19"/>
      <c r="K56" s="20"/>
      <c r="L56" s="16">
        <v>5150000</v>
      </c>
      <c r="M56" s="16">
        <v>119328.13</v>
      </c>
      <c r="N56" s="16">
        <v>52043.24</v>
      </c>
      <c r="O56" s="16"/>
      <c r="P56" s="6"/>
    </row>
    <row r="57" spans="2:17" ht="15" customHeight="1" x14ac:dyDescent="0.25">
      <c r="B57" s="98"/>
      <c r="C57" s="9" t="s">
        <v>35</v>
      </c>
      <c r="D57" s="16">
        <v>10000000</v>
      </c>
      <c r="E57" s="17">
        <v>37253</v>
      </c>
      <c r="F57" s="17" t="s">
        <v>81</v>
      </c>
      <c r="G57" s="16" t="s">
        <v>20</v>
      </c>
      <c r="H57" s="20">
        <v>5.0000000000000001E-3</v>
      </c>
      <c r="I57" s="16">
        <v>9950000</v>
      </c>
      <c r="J57" s="19"/>
      <c r="K57" s="20"/>
      <c r="L57" s="16">
        <v>0</v>
      </c>
      <c r="M57" s="16">
        <v>0</v>
      </c>
      <c r="N57" s="16">
        <v>0</v>
      </c>
      <c r="O57" s="16"/>
      <c r="P57" s="6"/>
    </row>
    <row r="58" spans="2:17" ht="15" customHeight="1" x14ac:dyDescent="0.25">
      <c r="B58" s="98"/>
      <c r="C58" s="9" t="s">
        <v>23</v>
      </c>
      <c r="D58" s="16">
        <v>8000000</v>
      </c>
      <c r="E58" s="17">
        <v>40283</v>
      </c>
      <c r="F58" s="17" t="s">
        <v>81</v>
      </c>
      <c r="G58" s="16" t="s">
        <v>22</v>
      </c>
      <c r="H58" s="20">
        <v>6.7499999999999999E-3</v>
      </c>
      <c r="I58" s="16">
        <v>2820000</v>
      </c>
      <c r="J58" s="19"/>
      <c r="K58" s="20"/>
      <c r="L58" s="16">
        <v>0</v>
      </c>
      <c r="M58" s="16">
        <v>0</v>
      </c>
      <c r="N58" s="16">
        <v>0</v>
      </c>
      <c r="O58" s="16"/>
      <c r="P58" s="6"/>
    </row>
    <row r="59" spans="2:17" ht="15" customHeight="1" x14ac:dyDescent="0.25">
      <c r="B59" s="98"/>
      <c r="C59" s="9" t="s">
        <v>115</v>
      </c>
      <c r="D59" s="16">
        <v>60000000</v>
      </c>
      <c r="E59" s="17">
        <v>44008</v>
      </c>
      <c r="F59" s="17">
        <v>45834</v>
      </c>
      <c r="G59" s="16" t="s">
        <v>80</v>
      </c>
      <c r="H59" s="17"/>
      <c r="I59" s="16">
        <v>34750000</v>
      </c>
      <c r="J59" s="19"/>
      <c r="K59" s="20"/>
      <c r="L59" s="16">
        <v>0</v>
      </c>
      <c r="M59" s="16">
        <v>0</v>
      </c>
      <c r="N59" s="16">
        <v>0</v>
      </c>
      <c r="O59" s="16"/>
      <c r="P59" s="6"/>
    </row>
    <row r="60" spans="2:17" ht="15" customHeight="1" x14ac:dyDescent="0.25">
      <c r="B60" s="98"/>
      <c r="C60" s="9" t="s">
        <v>46</v>
      </c>
      <c r="D60" s="16">
        <v>9000000</v>
      </c>
      <c r="E60" s="17">
        <v>43243</v>
      </c>
      <c r="F60" s="17"/>
      <c r="G60" s="16" t="s">
        <v>22</v>
      </c>
      <c r="H60" s="20">
        <v>6.0000000000000001E-3</v>
      </c>
      <c r="I60" s="16">
        <v>9000000</v>
      </c>
      <c r="J60" s="19"/>
      <c r="K60" s="20"/>
      <c r="L60" s="16"/>
      <c r="M60" s="16"/>
      <c r="N60" s="16"/>
      <c r="O60" s="16"/>
      <c r="P60" s="6"/>
    </row>
    <row r="61" spans="2:17" ht="15" customHeight="1" x14ac:dyDescent="0.25">
      <c r="B61" s="98"/>
      <c r="C61" s="9" t="s">
        <v>29</v>
      </c>
      <c r="D61" s="16">
        <v>7000000</v>
      </c>
      <c r="E61" s="17">
        <v>44411</v>
      </c>
      <c r="F61" s="17">
        <v>45781</v>
      </c>
      <c r="G61" s="16" t="s">
        <v>20</v>
      </c>
      <c r="H61" s="20">
        <v>5.4999999999999997E-3</v>
      </c>
      <c r="I61" s="16">
        <v>0</v>
      </c>
      <c r="J61" s="19"/>
      <c r="K61" s="20"/>
      <c r="L61" s="16">
        <v>7000000</v>
      </c>
      <c r="M61" s="16">
        <v>154963.63</v>
      </c>
      <c r="N61" s="16">
        <v>59239.399999999994</v>
      </c>
      <c r="O61" s="16"/>
      <c r="P61" s="6"/>
    </row>
    <row r="62" spans="2:17" ht="15.75" customHeight="1" x14ac:dyDescent="0.25">
      <c r="B62" s="23"/>
      <c r="C62" s="33" t="s">
        <v>47</v>
      </c>
      <c r="D62" s="25">
        <f>SUM(D56:D61)</f>
        <v>103000000</v>
      </c>
      <c r="E62" s="25"/>
      <c r="F62" s="56"/>
      <c r="G62" s="56"/>
      <c r="H62" s="56"/>
      <c r="I62" s="33">
        <f t="shared" ref="I62:N62" si="26">SUM(I56:I61)</f>
        <v>56520000</v>
      </c>
      <c r="J62" s="33">
        <f t="shared" si="26"/>
        <v>0</v>
      </c>
      <c r="K62" s="33">
        <f t="shared" si="26"/>
        <v>0</v>
      </c>
      <c r="L62" s="33">
        <f t="shared" si="26"/>
        <v>12150000</v>
      </c>
      <c r="M62" s="33">
        <f t="shared" si="26"/>
        <v>274291.76</v>
      </c>
      <c r="N62" s="33">
        <f t="shared" si="26"/>
        <v>111282.63999999998</v>
      </c>
      <c r="O62" s="33"/>
      <c r="P62" s="6"/>
    </row>
    <row r="63" spans="2:17" ht="15.75" customHeight="1" x14ac:dyDescent="0.25">
      <c r="B63" s="104" t="s">
        <v>153</v>
      </c>
      <c r="C63" s="9" t="s">
        <v>23</v>
      </c>
      <c r="D63" s="16">
        <v>4100000</v>
      </c>
      <c r="E63" s="17">
        <v>41716</v>
      </c>
      <c r="F63" s="17">
        <v>45360</v>
      </c>
      <c r="G63" s="16" t="s">
        <v>22</v>
      </c>
      <c r="H63" s="20">
        <v>6.5000000000000002E-2</v>
      </c>
      <c r="I63" s="16">
        <v>1300000</v>
      </c>
      <c r="J63" s="16">
        <v>650000</v>
      </c>
      <c r="K63" s="16">
        <v>0</v>
      </c>
      <c r="L63" s="16">
        <v>650000</v>
      </c>
      <c r="M63" s="16">
        <v>51117</v>
      </c>
      <c r="N63" s="16">
        <v>0</v>
      </c>
      <c r="O63" s="17"/>
      <c r="P63" s="6"/>
    </row>
    <row r="64" spans="2:17" ht="15.75" customHeight="1" x14ac:dyDescent="0.25">
      <c r="B64" s="128"/>
      <c r="C64" s="9" t="s">
        <v>23</v>
      </c>
      <c r="D64" s="16">
        <v>10000</v>
      </c>
      <c r="E64" s="17"/>
      <c r="F64" s="17">
        <v>46538</v>
      </c>
      <c r="G64" s="19"/>
      <c r="H64" s="20">
        <v>0</v>
      </c>
      <c r="I64" s="16">
        <v>372.59</v>
      </c>
      <c r="J64" s="16">
        <v>15835.56</v>
      </c>
      <c r="K64" s="16">
        <v>22157.84</v>
      </c>
      <c r="L64" s="16">
        <v>6694.87</v>
      </c>
      <c r="M64" s="16">
        <v>0</v>
      </c>
      <c r="N64" s="16"/>
      <c r="O64" s="17"/>
      <c r="P64" s="6"/>
    </row>
    <row r="65" spans="2:16" ht="15.75" customHeight="1" x14ac:dyDescent="0.25">
      <c r="B65" s="23"/>
      <c r="C65" s="33" t="s">
        <v>47</v>
      </c>
      <c r="D65" s="25">
        <f>SUM(D63:D64)</f>
        <v>4110000</v>
      </c>
      <c r="E65" s="25"/>
      <c r="F65" s="56"/>
      <c r="G65" s="56"/>
      <c r="H65" s="56"/>
      <c r="I65" s="25">
        <f>SUM(I63:I64)</f>
        <v>1300372.5900000001</v>
      </c>
      <c r="J65" s="25">
        <f t="shared" ref="J65:N65" si="27">SUM(J63:J64)</f>
        <v>665835.56000000006</v>
      </c>
      <c r="K65" s="25">
        <f t="shared" si="27"/>
        <v>22157.84</v>
      </c>
      <c r="L65" s="25">
        <f t="shared" si="27"/>
        <v>656694.87</v>
      </c>
      <c r="M65" s="25">
        <f t="shared" si="27"/>
        <v>51117</v>
      </c>
      <c r="N65" s="25">
        <f t="shared" si="27"/>
        <v>0</v>
      </c>
      <c r="O65" s="25"/>
      <c r="P65" s="6"/>
    </row>
    <row r="66" spans="2:16" ht="15.75" customHeight="1" x14ac:dyDescent="0.25">
      <c r="B66" s="23"/>
      <c r="C66" s="24" t="s">
        <v>72</v>
      </c>
      <c r="D66" s="25">
        <f>D11</f>
        <v>475000000</v>
      </c>
      <c r="E66" s="25"/>
      <c r="F66" s="25"/>
      <c r="G66" s="25"/>
      <c r="H66" s="25"/>
      <c r="I66" s="25">
        <f t="shared" ref="I66:N66" si="28">I11</f>
        <v>0</v>
      </c>
      <c r="J66" s="25">
        <f t="shared" si="28"/>
        <v>410598658</v>
      </c>
      <c r="K66" s="25">
        <f t="shared" si="28"/>
        <v>463520500</v>
      </c>
      <c r="L66" s="25">
        <f t="shared" si="28"/>
        <v>0</v>
      </c>
      <c r="M66" s="25">
        <f t="shared" si="28"/>
        <v>1129394.8599999999</v>
      </c>
      <c r="N66" s="25">
        <f t="shared" si="28"/>
        <v>437500</v>
      </c>
      <c r="O66" s="33"/>
      <c r="P66" s="6"/>
    </row>
    <row r="67" spans="2:16" ht="15.75" customHeight="1" x14ac:dyDescent="0.25">
      <c r="B67" s="23"/>
      <c r="C67" s="24" t="s">
        <v>73</v>
      </c>
      <c r="D67" s="25">
        <f>D16+D22+D24+D27+D29+D35+D37</f>
        <v>10231000</v>
      </c>
      <c r="E67" s="25"/>
      <c r="F67" s="25"/>
      <c r="G67" s="25"/>
      <c r="H67" s="25"/>
      <c r="I67" s="25">
        <f t="shared" ref="I67:N67" si="29">I16+I22+I24+I27+I29+I35+I37</f>
        <v>130268.77</v>
      </c>
      <c r="J67" s="25">
        <f t="shared" si="29"/>
        <v>6187529.9399999995</v>
      </c>
      <c r="K67" s="25">
        <f t="shared" si="29"/>
        <v>10420382.689999999</v>
      </c>
      <c r="L67" s="25">
        <f t="shared" si="29"/>
        <v>4364482.74</v>
      </c>
      <c r="M67" s="25">
        <f t="shared" si="29"/>
        <v>73396.47</v>
      </c>
      <c r="N67" s="25">
        <f t="shared" si="29"/>
        <v>40726.969999999994</v>
      </c>
      <c r="O67" s="33"/>
      <c r="P67" s="6"/>
    </row>
    <row r="68" spans="2:16" ht="15.75" customHeight="1" x14ac:dyDescent="0.25">
      <c r="B68" s="23"/>
      <c r="C68" s="24" t="s">
        <v>74</v>
      </c>
      <c r="D68" s="25">
        <f>D62+D55+D49+D44+D42+D39</f>
        <v>127033364.71000001</v>
      </c>
      <c r="E68" s="25"/>
      <c r="F68" s="25"/>
      <c r="G68" s="25"/>
      <c r="H68" s="25"/>
      <c r="I68" s="25">
        <f t="shared" ref="I68:N68" si="30">I62+I55+I49+I44+I42+I39</f>
        <v>57573090.899999999</v>
      </c>
      <c r="J68" s="25">
        <f t="shared" si="30"/>
        <v>7738851.9099999992</v>
      </c>
      <c r="K68" s="25">
        <f t="shared" si="30"/>
        <v>25851750.41</v>
      </c>
      <c r="L68" s="25">
        <f t="shared" si="30"/>
        <v>31301489.77</v>
      </c>
      <c r="M68" s="25">
        <f t="shared" si="30"/>
        <v>328318.28000000003</v>
      </c>
      <c r="N68" s="25">
        <f t="shared" si="30"/>
        <v>224143.06090500002</v>
      </c>
      <c r="O68" s="33"/>
      <c r="P68" s="6"/>
    </row>
    <row r="69" spans="2:16" ht="15.75" customHeight="1" x14ac:dyDescent="0.25">
      <c r="B69" s="23"/>
      <c r="C69" s="24" t="s">
        <v>150</v>
      </c>
      <c r="D69" s="25">
        <f>D65</f>
        <v>4110000</v>
      </c>
      <c r="E69" s="25"/>
      <c r="F69" s="25"/>
      <c r="G69" s="25"/>
      <c r="H69" s="25"/>
      <c r="I69" s="25">
        <f t="shared" ref="I69:N69" si="31">I65</f>
        <v>1300372.5900000001</v>
      </c>
      <c r="J69" s="25">
        <f t="shared" si="31"/>
        <v>665835.56000000006</v>
      </c>
      <c r="K69" s="25">
        <f t="shared" si="31"/>
        <v>22157.84</v>
      </c>
      <c r="L69" s="25">
        <f t="shared" si="31"/>
        <v>656694.87</v>
      </c>
      <c r="M69" s="25">
        <f t="shared" si="31"/>
        <v>51117</v>
      </c>
      <c r="N69" s="25">
        <f t="shared" si="31"/>
        <v>0</v>
      </c>
      <c r="O69" s="33"/>
      <c r="P69" s="6"/>
    </row>
    <row r="70" spans="2:16" ht="15.75" customHeight="1" x14ac:dyDescent="0.25">
      <c r="B70" s="23"/>
      <c r="C70" s="24" t="s">
        <v>151</v>
      </c>
      <c r="D70" s="25">
        <f>D67+D68+D69</f>
        <v>141374364.71000001</v>
      </c>
      <c r="E70" s="25"/>
      <c r="F70" s="25"/>
      <c r="G70" s="25"/>
      <c r="H70" s="25"/>
      <c r="I70" s="25">
        <f t="shared" ref="I70:N70" si="32">I67+I68+I69</f>
        <v>59003732.260000005</v>
      </c>
      <c r="J70" s="25">
        <f t="shared" si="32"/>
        <v>14592217.409999998</v>
      </c>
      <c r="K70" s="25">
        <f t="shared" si="32"/>
        <v>36294290.940000005</v>
      </c>
      <c r="L70" s="25">
        <f t="shared" si="32"/>
        <v>36322667.379999995</v>
      </c>
      <c r="M70" s="25">
        <f t="shared" si="32"/>
        <v>452831.75</v>
      </c>
      <c r="N70" s="25">
        <f t="shared" si="32"/>
        <v>264870.03090499999</v>
      </c>
      <c r="O70" s="33"/>
      <c r="P70" s="6"/>
    </row>
    <row r="71" spans="2:16" ht="15.75" customHeight="1" x14ac:dyDescent="0.25">
      <c r="B71" s="23"/>
      <c r="C71" s="24" t="s">
        <v>152</v>
      </c>
      <c r="D71" s="25">
        <f>D70+D66</f>
        <v>616374364.71000004</v>
      </c>
      <c r="E71" s="25"/>
      <c r="F71" s="25"/>
      <c r="G71" s="25"/>
      <c r="H71" s="25"/>
      <c r="I71" s="25">
        <f t="shared" ref="I71:N71" si="33">I70+I66</f>
        <v>59003732.260000005</v>
      </c>
      <c r="J71" s="25">
        <f t="shared" si="33"/>
        <v>425190875.41000003</v>
      </c>
      <c r="K71" s="25">
        <f t="shared" si="33"/>
        <v>499814790.94</v>
      </c>
      <c r="L71" s="25">
        <f t="shared" si="33"/>
        <v>36322667.379999995</v>
      </c>
      <c r="M71" s="25">
        <f t="shared" si="33"/>
        <v>1582226.6099999999</v>
      </c>
      <c r="N71" s="25">
        <f t="shared" si="33"/>
        <v>702370.03090499993</v>
      </c>
      <c r="O71" s="33"/>
      <c r="P71" s="6"/>
    </row>
    <row r="72" spans="2:16" x14ac:dyDescent="0.25">
      <c r="P72" s="6"/>
    </row>
    <row r="73" spans="2:16" x14ac:dyDescent="0.25">
      <c r="H73" s="1"/>
      <c r="P73" s="6"/>
    </row>
    <row r="74" spans="2:16" x14ac:dyDescent="0.25">
      <c r="H74" s="1"/>
      <c r="P74" s="6"/>
    </row>
    <row r="75" spans="2:16" x14ac:dyDescent="0.25">
      <c r="H75" s="1"/>
      <c r="L75" s="6"/>
      <c r="P75" s="6"/>
    </row>
    <row r="76" spans="2:16" x14ac:dyDescent="0.25">
      <c r="H76" s="1"/>
      <c r="L76" s="6"/>
      <c r="P76" s="6"/>
    </row>
    <row r="77" spans="2:16" x14ac:dyDescent="0.25">
      <c r="H77" s="1"/>
      <c r="L77" s="6"/>
      <c r="P77" s="6"/>
    </row>
    <row r="78" spans="2:16" x14ac:dyDescent="0.25">
      <c r="P78" s="6"/>
    </row>
    <row r="79" spans="2:16" x14ac:dyDescent="0.25">
      <c r="P79" s="6"/>
    </row>
    <row r="80" spans="2:16" x14ac:dyDescent="0.25">
      <c r="P80" s="6"/>
    </row>
    <row r="81" spans="16:16" x14ac:dyDescent="0.25">
      <c r="P81" s="6"/>
    </row>
    <row r="82" spans="16:16" x14ac:dyDescent="0.25">
      <c r="P82" s="6"/>
    </row>
    <row r="83" spans="16:16" x14ac:dyDescent="0.25">
      <c r="P83" s="6"/>
    </row>
    <row r="84" spans="16:16" x14ac:dyDescent="0.25">
      <c r="P84" s="6"/>
    </row>
    <row r="85" spans="16:16" x14ac:dyDescent="0.25">
      <c r="P85" s="6"/>
    </row>
    <row r="86" spans="16:16" x14ac:dyDescent="0.25">
      <c r="P86" s="6"/>
    </row>
    <row r="87" spans="16:16" x14ac:dyDescent="0.25">
      <c r="P87" s="6"/>
    </row>
    <row r="88" spans="16:16" x14ac:dyDescent="0.25">
      <c r="P88" s="6"/>
    </row>
    <row r="89" spans="16:16" x14ac:dyDescent="0.25">
      <c r="P89" s="6"/>
    </row>
    <row r="90" spans="16:16" x14ac:dyDescent="0.25">
      <c r="P90" s="6"/>
    </row>
    <row r="91" spans="16:16" x14ac:dyDescent="0.25">
      <c r="P91" s="6"/>
    </row>
    <row r="92" spans="16:16" x14ac:dyDescent="0.25">
      <c r="P92" s="6"/>
    </row>
    <row r="93" spans="16:16" x14ac:dyDescent="0.25">
      <c r="P93" s="6"/>
    </row>
    <row r="94" spans="16:16" x14ac:dyDescent="0.25">
      <c r="P94" s="6"/>
    </row>
    <row r="95" spans="16:16" x14ac:dyDescent="0.25">
      <c r="P95" s="6"/>
    </row>
    <row r="96" spans="16:16" x14ac:dyDescent="0.25">
      <c r="P96" s="6"/>
    </row>
    <row r="97" spans="16:16" x14ac:dyDescent="0.25">
      <c r="P97" s="6"/>
    </row>
    <row r="98" spans="16:16" x14ac:dyDescent="0.25">
      <c r="P98" s="6"/>
    </row>
    <row r="99" spans="16:16" x14ac:dyDescent="0.25">
      <c r="P99" s="6"/>
    </row>
    <row r="100" spans="16:16" x14ac:dyDescent="0.25">
      <c r="P100" s="6"/>
    </row>
    <row r="101" spans="16:16" x14ac:dyDescent="0.25">
      <c r="P101" s="6"/>
    </row>
    <row r="102" spans="16:16" x14ac:dyDescent="0.25">
      <c r="P102" s="6"/>
    </row>
    <row r="103" spans="16:16" x14ac:dyDescent="0.25">
      <c r="P103" s="6"/>
    </row>
    <row r="104" spans="16:16" x14ac:dyDescent="0.25">
      <c r="P104" s="6"/>
    </row>
    <row r="105" spans="16:16" x14ac:dyDescent="0.25">
      <c r="P105" s="6"/>
    </row>
    <row r="106" spans="16:16" x14ac:dyDescent="0.25">
      <c r="P106" s="6"/>
    </row>
    <row r="107" spans="16:16" x14ac:dyDescent="0.25">
      <c r="P107" s="6"/>
    </row>
    <row r="108" spans="16:16" x14ac:dyDescent="0.25">
      <c r="P108" s="6"/>
    </row>
    <row r="109" spans="16:16" x14ac:dyDescent="0.25">
      <c r="P109" s="6"/>
    </row>
    <row r="110" spans="16:16" x14ac:dyDescent="0.25">
      <c r="P110" s="6"/>
    </row>
    <row r="111" spans="16:16" x14ac:dyDescent="0.25">
      <c r="P111" s="6"/>
    </row>
    <row r="112" spans="16:16" x14ac:dyDescent="0.25">
      <c r="P112" s="6"/>
    </row>
    <row r="113" spans="16:16" x14ac:dyDescent="0.25">
      <c r="P113" s="6"/>
    </row>
    <row r="114" spans="16:16" x14ac:dyDescent="0.25">
      <c r="P114" s="6"/>
    </row>
    <row r="115" spans="16:16" x14ac:dyDescent="0.25">
      <c r="P115" s="6"/>
    </row>
    <row r="116" spans="16:16" x14ac:dyDescent="0.25">
      <c r="P116" s="6"/>
    </row>
    <row r="117" spans="16:16" x14ac:dyDescent="0.25">
      <c r="P117" s="6"/>
    </row>
    <row r="118" spans="16:16" x14ac:dyDescent="0.25">
      <c r="P118" s="6"/>
    </row>
    <row r="119" spans="16:16" x14ac:dyDescent="0.25">
      <c r="P119" s="6"/>
    </row>
    <row r="120" spans="16:16" x14ac:dyDescent="0.25">
      <c r="P120" s="6"/>
    </row>
    <row r="121" spans="16:16" x14ac:dyDescent="0.25">
      <c r="P121" s="6"/>
    </row>
    <row r="122" spans="16:16" x14ac:dyDescent="0.25">
      <c r="P122" s="6"/>
    </row>
    <row r="123" spans="16:16" x14ac:dyDescent="0.25">
      <c r="P123" s="6"/>
    </row>
    <row r="124" spans="16:16" x14ac:dyDescent="0.25">
      <c r="P124" s="6"/>
    </row>
    <row r="125" spans="16:16" x14ac:dyDescent="0.25">
      <c r="P125" s="6"/>
    </row>
    <row r="126" spans="16:16" x14ac:dyDescent="0.25">
      <c r="P126" s="6"/>
    </row>
    <row r="127" spans="16:16" x14ac:dyDescent="0.25">
      <c r="P127" s="6"/>
    </row>
    <row r="128" spans="16:16" x14ac:dyDescent="0.25">
      <c r="P128" s="6"/>
    </row>
    <row r="129" spans="16:16" x14ac:dyDescent="0.25">
      <c r="P129" s="6"/>
    </row>
    <row r="130" spans="16:16" x14ac:dyDescent="0.25">
      <c r="P130" s="6"/>
    </row>
    <row r="131" spans="16:16" x14ac:dyDescent="0.25">
      <c r="P131" s="6"/>
    </row>
    <row r="132" spans="16:16" x14ac:dyDescent="0.25">
      <c r="P132" s="6"/>
    </row>
    <row r="133" spans="16:16" x14ac:dyDescent="0.25">
      <c r="P133" s="6"/>
    </row>
    <row r="134" spans="16:16" x14ac:dyDescent="0.25">
      <c r="P134" s="6"/>
    </row>
    <row r="135" spans="16:16" x14ac:dyDescent="0.25">
      <c r="P135" s="6"/>
    </row>
    <row r="136" spans="16:16" x14ac:dyDescent="0.25">
      <c r="P136" s="6"/>
    </row>
    <row r="137" spans="16:16" x14ac:dyDescent="0.25">
      <c r="P137" s="6"/>
    </row>
    <row r="138" spans="16:16" x14ac:dyDescent="0.25">
      <c r="P138" s="6"/>
    </row>
    <row r="139" spans="16:16" x14ac:dyDescent="0.25">
      <c r="P139" s="6"/>
    </row>
    <row r="140" spans="16:16" x14ac:dyDescent="0.25">
      <c r="P140" s="6"/>
    </row>
    <row r="141" spans="16:16" x14ac:dyDescent="0.25">
      <c r="P141" s="6"/>
    </row>
    <row r="142" spans="16:16" x14ac:dyDescent="0.25">
      <c r="P142" s="6"/>
    </row>
    <row r="143" spans="16:16" x14ac:dyDescent="0.25">
      <c r="P143" s="6"/>
    </row>
    <row r="144" spans="16:16" x14ac:dyDescent="0.25">
      <c r="P144" s="6"/>
    </row>
    <row r="145" spans="16:16" x14ac:dyDescent="0.25">
      <c r="P145" s="6"/>
    </row>
    <row r="146" spans="16:16" x14ac:dyDescent="0.25">
      <c r="P146" s="6"/>
    </row>
    <row r="147" spans="16:16" x14ac:dyDescent="0.25">
      <c r="P147" s="6"/>
    </row>
    <row r="148" spans="16:16" x14ac:dyDescent="0.25">
      <c r="P148" s="6"/>
    </row>
    <row r="149" spans="16:16" x14ac:dyDescent="0.25">
      <c r="P149" s="6"/>
    </row>
    <row r="150" spans="16:16" x14ac:dyDescent="0.25">
      <c r="P150" s="6"/>
    </row>
    <row r="151" spans="16:16" x14ac:dyDescent="0.25">
      <c r="P151" s="6"/>
    </row>
    <row r="152" spans="16:16" x14ac:dyDescent="0.25">
      <c r="P152" s="6"/>
    </row>
    <row r="153" spans="16:16" x14ac:dyDescent="0.25">
      <c r="P153" s="6"/>
    </row>
    <row r="154" spans="16:16" x14ac:dyDescent="0.25">
      <c r="P154" s="6"/>
    </row>
    <row r="155" spans="16:16" x14ac:dyDescent="0.25">
      <c r="P155" s="6"/>
    </row>
    <row r="156" spans="16:16" x14ac:dyDescent="0.25">
      <c r="P156" s="6"/>
    </row>
    <row r="157" spans="16:16" x14ac:dyDescent="0.25">
      <c r="P157" s="6"/>
    </row>
    <row r="158" spans="16:16" x14ac:dyDescent="0.25">
      <c r="P158" s="6"/>
    </row>
    <row r="159" spans="16:16" x14ac:dyDescent="0.25">
      <c r="P159" s="6"/>
    </row>
    <row r="160" spans="16:16" x14ac:dyDescent="0.25">
      <c r="P160" s="6"/>
    </row>
    <row r="161" spans="16:16" x14ac:dyDescent="0.25">
      <c r="P161" s="6"/>
    </row>
    <row r="162" spans="16:16" x14ac:dyDescent="0.25">
      <c r="P162" s="6"/>
    </row>
    <row r="163" spans="16:16" x14ac:dyDescent="0.25">
      <c r="P163" s="6"/>
    </row>
    <row r="164" spans="16:16" x14ac:dyDescent="0.25">
      <c r="P164" s="6"/>
    </row>
    <row r="165" spans="16:16" x14ac:dyDescent="0.25">
      <c r="P165" s="6"/>
    </row>
    <row r="166" spans="16:16" x14ac:dyDescent="0.25">
      <c r="P166" s="6"/>
    </row>
    <row r="167" spans="16:16" x14ac:dyDescent="0.25">
      <c r="P167" s="6"/>
    </row>
    <row r="168" spans="16:16" x14ac:dyDescent="0.25">
      <c r="P168" s="6"/>
    </row>
    <row r="169" spans="16:16" x14ac:dyDescent="0.25">
      <c r="P169" s="6"/>
    </row>
    <row r="170" spans="16:16" x14ac:dyDescent="0.25">
      <c r="P170" s="6"/>
    </row>
    <row r="171" spans="16:16" x14ac:dyDescent="0.25">
      <c r="P171" s="6"/>
    </row>
    <row r="172" spans="16:16" x14ac:dyDescent="0.25">
      <c r="P172" s="6"/>
    </row>
    <row r="173" spans="16:16" x14ac:dyDescent="0.25">
      <c r="P173" s="6"/>
    </row>
    <row r="174" spans="16:16" x14ac:dyDescent="0.25">
      <c r="P174" s="6"/>
    </row>
    <row r="175" spans="16:16" x14ac:dyDescent="0.25">
      <c r="P175" s="6"/>
    </row>
    <row r="176" spans="16:16" x14ac:dyDescent="0.25">
      <c r="P176" s="6"/>
    </row>
    <row r="177" spans="16:16" x14ac:dyDescent="0.25">
      <c r="P177" s="6"/>
    </row>
    <row r="178" spans="16:16" x14ac:dyDescent="0.25">
      <c r="P178" s="6"/>
    </row>
    <row r="179" spans="16:16" x14ac:dyDescent="0.25">
      <c r="P179" s="6"/>
    </row>
    <row r="180" spans="16:16" x14ac:dyDescent="0.25">
      <c r="P180" s="6"/>
    </row>
    <row r="181" spans="16:16" x14ac:dyDescent="0.25">
      <c r="P181" s="6"/>
    </row>
    <row r="182" spans="16:16" x14ac:dyDescent="0.25">
      <c r="P182" s="6"/>
    </row>
    <row r="183" spans="16:16" x14ac:dyDescent="0.25">
      <c r="P183" s="6"/>
    </row>
    <row r="184" spans="16:16" x14ac:dyDescent="0.25">
      <c r="P184" s="6"/>
    </row>
    <row r="185" spans="16:16" x14ac:dyDescent="0.25">
      <c r="P185" s="6"/>
    </row>
    <row r="186" spans="16:16" x14ac:dyDescent="0.25">
      <c r="P186" s="6"/>
    </row>
    <row r="187" spans="16:16" x14ac:dyDescent="0.25">
      <c r="P187" s="6"/>
    </row>
    <row r="188" spans="16:16" x14ac:dyDescent="0.25">
      <c r="P188" s="6"/>
    </row>
    <row r="189" spans="16:16" x14ac:dyDescent="0.25">
      <c r="P189" s="6"/>
    </row>
    <row r="190" spans="16:16" x14ac:dyDescent="0.25">
      <c r="P190" s="6"/>
    </row>
    <row r="191" spans="16:16" x14ac:dyDescent="0.25">
      <c r="P191" s="6"/>
    </row>
    <row r="192" spans="16:16" x14ac:dyDescent="0.25">
      <c r="P192" s="6"/>
    </row>
    <row r="193" spans="16:16" x14ac:dyDescent="0.25">
      <c r="P193" s="6"/>
    </row>
    <row r="194" spans="16:16" x14ac:dyDescent="0.25">
      <c r="P194" s="6"/>
    </row>
    <row r="195" spans="16:16" x14ac:dyDescent="0.25">
      <c r="P195" s="6"/>
    </row>
    <row r="196" spans="16:16" x14ac:dyDescent="0.25">
      <c r="P196" s="6"/>
    </row>
    <row r="197" spans="16:16" x14ac:dyDescent="0.25">
      <c r="P197" s="6"/>
    </row>
    <row r="198" spans="16:16" x14ac:dyDescent="0.25">
      <c r="P198" s="6"/>
    </row>
    <row r="199" spans="16:16" x14ac:dyDescent="0.25">
      <c r="P199" s="6"/>
    </row>
    <row r="200" spans="16:16" x14ac:dyDescent="0.25">
      <c r="P200" s="6"/>
    </row>
    <row r="201" spans="16:16" x14ac:dyDescent="0.25">
      <c r="P201" s="6"/>
    </row>
    <row r="202" spans="16:16" x14ac:dyDescent="0.25">
      <c r="P202" s="6"/>
    </row>
    <row r="203" spans="16:16" x14ac:dyDescent="0.25">
      <c r="P203" s="6"/>
    </row>
    <row r="204" spans="16:16" x14ac:dyDescent="0.25">
      <c r="P204" s="6"/>
    </row>
    <row r="205" spans="16:16" x14ac:dyDescent="0.25">
      <c r="P205" s="6"/>
    </row>
    <row r="206" spans="16:16" x14ac:dyDescent="0.25">
      <c r="P206" s="6"/>
    </row>
    <row r="207" spans="16:16" x14ac:dyDescent="0.25">
      <c r="P207" s="6"/>
    </row>
    <row r="208" spans="16:16" x14ac:dyDescent="0.25">
      <c r="P208" s="6"/>
    </row>
    <row r="209" spans="16:16" x14ac:dyDescent="0.25">
      <c r="P209" s="6"/>
    </row>
    <row r="210" spans="16:16" x14ac:dyDescent="0.25">
      <c r="P210" s="6"/>
    </row>
    <row r="211" spans="16:16" x14ac:dyDescent="0.25">
      <c r="P211" s="6"/>
    </row>
    <row r="212" spans="16:16" x14ac:dyDescent="0.25">
      <c r="P212" s="6"/>
    </row>
    <row r="213" spans="16:16" x14ac:dyDescent="0.25">
      <c r="P213" s="6"/>
    </row>
    <row r="214" spans="16:16" x14ac:dyDescent="0.25">
      <c r="P214" s="6"/>
    </row>
    <row r="215" spans="16:16" x14ac:dyDescent="0.25">
      <c r="P215" s="6"/>
    </row>
    <row r="216" spans="16:16" x14ac:dyDescent="0.25">
      <c r="P216" s="6"/>
    </row>
    <row r="217" spans="16:16" x14ac:dyDescent="0.25">
      <c r="P217" s="6"/>
    </row>
    <row r="218" spans="16:16" x14ac:dyDescent="0.25">
      <c r="P218" s="6"/>
    </row>
    <row r="219" spans="16:16" x14ac:dyDescent="0.25">
      <c r="P219" s="6"/>
    </row>
    <row r="220" spans="16:16" x14ac:dyDescent="0.25">
      <c r="P220" s="6"/>
    </row>
    <row r="221" spans="16:16" x14ac:dyDescent="0.25">
      <c r="P221" s="6"/>
    </row>
    <row r="222" spans="16:16" x14ac:dyDescent="0.25">
      <c r="P222" s="6"/>
    </row>
    <row r="223" spans="16:16" x14ac:dyDescent="0.25">
      <c r="P223" s="6"/>
    </row>
    <row r="224" spans="16:16" x14ac:dyDescent="0.25">
      <c r="P224" s="6"/>
    </row>
    <row r="225" spans="16:16" x14ac:dyDescent="0.25">
      <c r="P225" s="6"/>
    </row>
    <row r="226" spans="16:16" x14ac:dyDescent="0.25">
      <c r="P226" s="6"/>
    </row>
    <row r="227" spans="16:16" x14ac:dyDescent="0.25">
      <c r="P227" s="6"/>
    </row>
    <row r="228" spans="16:16" x14ac:dyDescent="0.25">
      <c r="P228" s="6"/>
    </row>
    <row r="229" spans="16:16" x14ac:dyDescent="0.25">
      <c r="P229" s="6"/>
    </row>
    <row r="230" spans="16:16" x14ac:dyDescent="0.25">
      <c r="P230" s="6"/>
    </row>
    <row r="231" spans="16:16" x14ac:dyDescent="0.25">
      <c r="P231" s="6"/>
    </row>
    <row r="232" spans="16:16" x14ac:dyDescent="0.25">
      <c r="P232" s="6"/>
    </row>
    <row r="233" spans="16:16" x14ac:dyDescent="0.25">
      <c r="P233" s="6"/>
    </row>
    <row r="234" spans="16:16" x14ac:dyDescent="0.25">
      <c r="P234" s="6"/>
    </row>
    <row r="235" spans="16:16" x14ac:dyDescent="0.25">
      <c r="P235" s="6"/>
    </row>
    <row r="236" spans="16:16" x14ac:dyDescent="0.25">
      <c r="P236" s="6"/>
    </row>
    <row r="237" spans="16:16" x14ac:dyDescent="0.25">
      <c r="P237" s="6"/>
    </row>
    <row r="238" spans="16:16" x14ac:dyDescent="0.25">
      <c r="P238" s="6"/>
    </row>
    <row r="239" spans="16:16" x14ac:dyDescent="0.25">
      <c r="P239" s="6"/>
    </row>
    <row r="240" spans="16:16" x14ac:dyDescent="0.25">
      <c r="P240" s="6"/>
    </row>
    <row r="241" spans="16:16" x14ac:dyDescent="0.25">
      <c r="P241" s="6"/>
    </row>
    <row r="242" spans="16:16" x14ac:dyDescent="0.25">
      <c r="P242" s="6"/>
    </row>
    <row r="243" spans="16:16" x14ac:dyDescent="0.25">
      <c r="P243" s="6"/>
    </row>
    <row r="244" spans="16:16" x14ac:dyDescent="0.25">
      <c r="P244" s="6"/>
    </row>
    <row r="245" spans="16:16" x14ac:dyDescent="0.25">
      <c r="P245" s="6"/>
    </row>
    <row r="246" spans="16:16" x14ac:dyDescent="0.25">
      <c r="P246" s="6"/>
    </row>
    <row r="247" spans="16:16" x14ac:dyDescent="0.25">
      <c r="P247" s="6"/>
    </row>
    <row r="248" spans="16:16" x14ac:dyDescent="0.25">
      <c r="P248" s="6"/>
    </row>
    <row r="249" spans="16:16" x14ac:dyDescent="0.25">
      <c r="P249" s="6"/>
    </row>
    <row r="250" spans="16:16" x14ac:dyDescent="0.25">
      <c r="P250" s="6"/>
    </row>
    <row r="251" spans="16:16" x14ac:dyDescent="0.25">
      <c r="P251" s="6"/>
    </row>
    <row r="252" spans="16:16" x14ac:dyDescent="0.25">
      <c r="P252" s="6"/>
    </row>
    <row r="253" spans="16:16" x14ac:dyDescent="0.25">
      <c r="P253" s="6"/>
    </row>
    <row r="254" spans="16:16" x14ac:dyDescent="0.25">
      <c r="P254" s="6"/>
    </row>
    <row r="255" spans="16:16" x14ac:dyDescent="0.25">
      <c r="P255" s="6"/>
    </row>
  </sheetData>
  <mergeCells count="26">
    <mergeCell ref="B12:B15"/>
    <mergeCell ref="B2:N2"/>
    <mergeCell ref="B4:B5"/>
    <mergeCell ref="C4:C5"/>
    <mergeCell ref="D4:D5"/>
    <mergeCell ref="E4:F4"/>
    <mergeCell ref="I4:I5"/>
    <mergeCell ref="J4:K4"/>
    <mergeCell ref="L4:L5"/>
    <mergeCell ref="G54:H54"/>
    <mergeCell ref="B25:B26"/>
    <mergeCell ref="G26:H26"/>
    <mergeCell ref="B30:B34"/>
    <mergeCell ref="B17:B21"/>
    <mergeCell ref="G21:H21"/>
    <mergeCell ref="O4:O5"/>
    <mergeCell ref="M4:M5"/>
    <mergeCell ref="N4:N5"/>
    <mergeCell ref="G4:H4"/>
    <mergeCell ref="B6:B10"/>
    <mergeCell ref="G6:H6"/>
    <mergeCell ref="B63:B64"/>
    <mergeCell ref="B56:B61"/>
    <mergeCell ref="B40:B41"/>
    <mergeCell ref="B45:B48"/>
    <mergeCell ref="B50:B5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L49 L37:L39 L35 L29 L27 L22" formula="1"/>
    <ignoredError sqref="I16 I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B02FB-4551-4FE1-BFFD-607CB6CDF86D}"/>
</file>

<file path=customXml/itemProps2.xml><?xml version="1.0" encoding="utf-8"?>
<ds:datastoreItem xmlns:ds="http://schemas.openxmlformats.org/officeDocument/2006/customXml" ds:itemID="{728FF88C-B3C3-4BF6-8410-88CEC35A5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Condições de Financiamento MLP</vt:lpstr>
      <vt:lpstr>Condições de Financiamento CP</vt:lpstr>
      <vt:lpstr>'Condições de Financiamento CP'!Área_de_Impressão</vt:lpstr>
      <vt:lpstr>'Condições de Financiamento MLP'!Área_de_Impressão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2024-05-31T16:21:44Z</dcterms:modified>
  <cp:category/>
  <cp:contentStatus/>
</cp:coreProperties>
</file>