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D760A484-7A86-498C-869D-25DA5E81B19E}" xr6:coauthVersionLast="47" xr6:coauthVersionMax="47" xr10:uidLastSave="{00000000-0000-0000-0000-000000000000}"/>
  <bookViews>
    <workbookView xWindow="-28920" yWindow="-45" windowWidth="29040" windowHeight="15720" tabRatio="806" xr2:uid="{00000000-000D-0000-FFFF-FFFF00000000}"/>
  </bookViews>
  <sheets>
    <sheet name="2024 Licor 25%" sheetId="6" r:id="rId1"/>
    <sheet name="2024 Licor Regional p fora 50%" sheetId="7" r:id="rId2"/>
    <sheet name="2024 Aguardente 25%" sheetId="8" r:id="rId3"/>
    <sheet name="2024 Ag Regional p Fora 50%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9" l="1"/>
  <c r="I9" i="9" s="1"/>
  <c r="G17" i="8"/>
  <c r="F17" i="8"/>
  <c r="E17" i="8"/>
  <c r="G10" i="9"/>
  <c r="F10" i="9"/>
  <c r="E10" i="9"/>
  <c r="H8" i="9"/>
  <c r="I8" i="9" s="1"/>
  <c r="H7" i="9"/>
  <c r="H16" i="8"/>
  <c r="I16" i="8" s="1"/>
  <c r="I15" i="8"/>
  <c r="H15" i="8"/>
  <c r="H14" i="8"/>
  <c r="I14" i="8" s="1"/>
  <c r="H13" i="8"/>
  <c r="I13" i="8" s="1"/>
  <c r="H12" i="8"/>
  <c r="I12" i="8" s="1"/>
  <c r="H11" i="8"/>
  <c r="I11" i="8" s="1"/>
  <c r="I10" i="8"/>
  <c r="H10" i="8"/>
  <c r="H9" i="8"/>
  <c r="I9" i="8" s="1"/>
  <c r="H8" i="8"/>
  <c r="I8" i="8" s="1"/>
  <c r="H7" i="8"/>
  <c r="I7" i="8" s="1"/>
  <c r="H6" i="7"/>
  <c r="I6" i="7" s="1"/>
  <c r="H7" i="7"/>
  <c r="I7" i="7" s="1"/>
  <c r="H8" i="7"/>
  <c r="H9" i="7"/>
  <c r="H10" i="7"/>
  <c r="H11" i="7"/>
  <c r="G11" i="7"/>
  <c r="F11" i="7"/>
  <c r="E11" i="7"/>
  <c r="H10" i="9" l="1"/>
  <c r="I7" i="9"/>
  <c r="I10" i="9" s="1"/>
  <c r="H17" i="8"/>
  <c r="I17" i="8"/>
  <c r="I8" i="7"/>
  <c r="I9" i="7"/>
  <c r="I10" i="7"/>
  <c r="I11" i="7"/>
  <c r="G18" i="6"/>
  <c r="H18" i="6" s="1"/>
  <c r="I18" i="6" s="1"/>
  <c r="F18" i="6"/>
  <c r="E18" i="6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</calcChain>
</file>

<file path=xl/sharedStrings.xml><?xml version="1.0" encoding="utf-8"?>
<sst xmlns="http://schemas.openxmlformats.org/spreadsheetml/2006/main" count="132" uniqueCount="68">
  <si>
    <t>ILHA</t>
  </si>
  <si>
    <t>OPERADOR</t>
  </si>
  <si>
    <t>Número IEC</t>
  </si>
  <si>
    <t>Litros de Licor</t>
  </si>
  <si>
    <t>Litros de Álcool Puro</t>
  </si>
  <si>
    <t>Montante Cobrado (25%) €</t>
  </si>
  <si>
    <t>Benefício Fiscal (75%) €</t>
  </si>
  <si>
    <t>IEC TOTAL  (€)</t>
  </si>
  <si>
    <t>PICO</t>
  </si>
  <si>
    <t>LEONILDA DE FATIMA PEREIRA DA SILVEIRA</t>
  </si>
  <si>
    <t>PT01152774629</t>
  </si>
  <si>
    <t>COOPERATIVA VITIVINÍCOLA DA ILHA DO PICO (CVIP)-PICOWINES CRL</t>
  </si>
  <si>
    <t>PT01512010617</t>
  </si>
  <si>
    <t>ALDA MARIA FREITAS COSTA</t>
  </si>
  <si>
    <t>PT01118885103</t>
  </si>
  <si>
    <t>MANUEL JOSE MACHADO</t>
  </si>
  <si>
    <t>PT01180001396</t>
  </si>
  <si>
    <t>MANUEL ALBERTO SILVEIRA LARANJO</t>
  </si>
  <si>
    <t>PT01175564663</t>
  </si>
  <si>
    <t>SÃO MIGUEL</t>
  </si>
  <si>
    <t>LIMA &amp; QUENTAL, LDA</t>
  </si>
  <si>
    <t>PT01512002479</t>
  </si>
  <si>
    <t>FABRICA DE LICORES EDUARDO FERREIRA &amp; FILHOS LDA</t>
  </si>
  <si>
    <t>PT01512045704</t>
  </si>
  <si>
    <t>MANUEL FRANCISCO SIMAS RAINHA</t>
  </si>
  <si>
    <t>PT01176270949</t>
  </si>
  <si>
    <t>COOPERATIVA CELEIRO DA TERRA CRL</t>
  </si>
  <si>
    <t>PT01512052670</t>
  </si>
  <si>
    <t>PRODUÇÕES EM LINHA, LDA</t>
  </si>
  <si>
    <t>PT01512010013</t>
  </si>
  <si>
    <t>ANA ARRUDA UNIPESSOAL LDA</t>
  </si>
  <si>
    <t>PT01509837417</t>
  </si>
  <si>
    <t>Nome</t>
  </si>
  <si>
    <t>Litros de Aguardente</t>
  </si>
  <si>
    <t>Montante Cobrado (25%)</t>
  </si>
  <si>
    <t>Benefício Fiscal (75%)</t>
  </si>
  <si>
    <t>IEC TOTAL €</t>
  </si>
  <si>
    <t>TERCEIRA</t>
  </si>
  <si>
    <t>MANUEL FERNANDO GOMES PEREIRA</t>
  </si>
  <si>
    <t>PT01101502443</t>
  </si>
  <si>
    <t>GRACIOSA</t>
  </si>
  <si>
    <t>ADEGA E COOPERATIVA AGRICOLA DA ILHA GRACIOSA</t>
  </si>
  <si>
    <t>PT01512017891</t>
  </si>
  <si>
    <t>LEONARDO SILVA</t>
  </si>
  <si>
    <t>PT01143549863</t>
  </si>
  <si>
    <t>AGUARDENTE REGIONAL - PRODUZIDA NOS AÇORES E CONSUMIDA NO CONTINENTE</t>
  </si>
  <si>
    <t>Montante Cobrado (50%)</t>
  </si>
  <si>
    <t>Benefício Fiscal (50%)</t>
  </si>
  <si>
    <t>Montante Cobrado (50%) €</t>
  </si>
  <si>
    <t>Benefício Fiscal (50%) €</t>
  </si>
  <si>
    <t>LICORES REGIONAIS - PRODUZIDOS NOS AÇORES E CONSUMIDOS NO CONTINENTE</t>
  </si>
  <si>
    <r>
      <t>AÇORES - TAXA REDUZIDA -</t>
    </r>
    <r>
      <rPr>
        <b/>
        <sz val="10"/>
        <color rgb="FFFF0000"/>
        <rFont val="Arial"/>
        <family val="2"/>
      </rPr>
      <t xml:space="preserve"> 50%</t>
    </r>
  </si>
  <si>
    <r>
      <t xml:space="preserve">AÇORES - TAXA REDUZIDA - </t>
    </r>
    <r>
      <rPr>
        <b/>
        <sz val="10"/>
        <color rgb="FFFF0000"/>
        <rFont val="Arial"/>
        <family val="2"/>
      </rPr>
      <t>50%</t>
    </r>
  </si>
  <si>
    <r>
      <t xml:space="preserve">AÇORES - TAXA REDUZIDA - </t>
    </r>
    <r>
      <rPr>
        <b/>
        <sz val="10"/>
        <color rgb="FFFF0000"/>
        <rFont val="Arial"/>
        <family val="2"/>
      </rPr>
      <t>25%</t>
    </r>
  </si>
  <si>
    <t>AGUARDENTE REGIONAL - PRODUZIDA E CONSUMIDA NOS AÇORES</t>
  </si>
  <si>
    <r>
      <t>AÇORES - TAXA REDUZIDA -</t>
    </r>
    <r>
      <rPr>
        <b/>
        <sz val="10"/>
        <color rgb="FFFF0000"/>
        <rFont val="Arial"/>
        <family val="2"/>
      </rPr>
      <t xml:space="preserve"> 25%</t>
    </r>
  </si>
  <si>
    <t>LICORES REGIONAIS - PRODUZIDOS E CONSUMIDOS NOS AÇORES</t>
  </si>
  <si>
    <t>DIMAS LOPES</t>
  </si>
  <si>
    <t>PT01216646969</t>
  </si>
  <si>
    <t>INTRODUÇÃO NO CONSUMO - LICORES - 2024</t>
  </si>
  <si>
    <t>INTRODUÇÃO NO CONSUMO - LICOR - 2024</t>
  </si>
  <si>
    <t>Açores</t>
  </si>
  <si>
    <t>DIVERSOS</t>
  </si>
  <si>
    <t>LEONARDO AVILA DA SILVA</t>
  </si>
  <si>
    <t>COOP. VITIVINÍCOLA DA ILHA DO PICO (CVIP)-PICOWINES CRL</t>
  </si>
  <si>
    <t>INTRODUÇÃO NO CONSUMO - AGUARDENTE - 2024</t>
  </si>
  <si>
    <t>AÇORES</t>
  </si>
  <si>
    <t>OUTROS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</si>
</sst>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333333"/>
      <name val="Arial"/>
      <family val="2"/>
    </font>
    <font>
      <b/>
      <sz val="10"/>
      <color rgb="FFFF0000"/>
      <name val="Arial"/>
      <family val="2"/>
    </font>
    <font>
      <sz val="9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2" applyFont="1" applyFill="1" applyAlignment="1">
      <alignment horizontal="left" vertical="center"/>
    </xf>
    <xf numFmtId="0" fontId="1" fillId="0" borderId="0" xfId="2" applyAlignment="1">
      <alignment vertical="center"/>
    </xf>
    <xf numFmtId="0" fontId="4" fillId="2" borderId="0" xfId="2" applyFont="1" applyFill="1" applyAlignment="1">
      <alignment horizontal="left" vertical="center"/>
    </xf>
    <xf numFmtId="43" fontId="2" fillId="2" borderId="0" xfId="3" applyFont="1" applyFill="1" applyAlignment="1">
      <alignment horizontal="left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43" fontId="5" fillId="3" borderId="2" xfId="3" applyFont="1" applyFill="1" applyBorder="1" applyAlignment="1">
      <alignment horizontal="center" vertical="center" wrapText="1"/>
    </xf>
    <xf numFmtId="43" fontId="5" fillId="3" borderId="3" xfId="3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left" vertical="center"/>
    </xf>
    <xf numFmtId="49" fontId="6" fillId="3" borderId="5" xfId="2" applyNumberFormat="1" applyFont="1" applyFill="1" applyBorder="1" applyAlignment="1">
      <alignment horizontal="left" vertical="center"/>
    </xf>
    <xf numFmtId="43" fontId="6" fillId="3" borderId="5" xfId="3" applyFont="1" applyFill="1" applyBorder="1" applyAlignment="1">
      <alignment horizontal="right" vertical="center"/>
    </xf>
    <xf numFmtId="43" fontId="6" fillId="3" borderId="6" xfId="3" applyFont="1" applyFill="1" applyBorder="1" applyAlignment="1">
      <alignment horizontal="right" vertical="center"/>
    </xf>
    <xf numFmtId="49" fontId="6" fillId="3" borderId="7" xfId="2" applyNumberFormat="1" applyFont="1" applyFill="1" applyBorder="1" applyAlignment="1">
      <alignment horizontal="left" vertical="center"/>
    </xf>
    <xf numFmtId="49" fontId="6" fillId="3" borderId="8" xfId="2" applyNumberFormat="1" applyFont="1" applyFill="1" applyBorder="1" applyAlignment="1">
      <alignment horizontal="left" vertical="center"/>
    </xf>
    <xf numFmtId="0" fontId="1" fillId="0" borderId="0" xfId="2"/>
    <xf numFmtId="0" fontId="2" fillId="2" borderId="0" xfId="2" applyFont="1" applyFill="1" applyAlignment="1">
      <alignment horizontal="left"/>
    </xf>
    <xf numFmtId="49" fontId="7" fillId="3" borderId="1" xfId="2" applyNumberFormat="1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>
      <alignment horizontal="center" vertical="center" wrapText="1"/>
    </xf>
    <xf numFmtId="43" fontId="7" fillId="3" borderId="2" xfId="3" applyFont="1" applyFill="1" applyBorder="1" applyAlignment="1">
      <alignment horizontal="center" vertical="center" wrapText="1"/>
    </xf>
    <xf numFmtId="43" fontId="7" fillId="3" borderId="3" xfId="3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left" vertical="center"/>
    </xf>
    <xf numFmtId="49" fontId="8" fillId="3" borderId="5" xfId="2" applyNumberFormat="1" applyFont="1" applyFill="1" applyBorder="1" applyAlignment="1">
      <alignment horizontal="left" vertical="center"/>
    </xf>
    <xf numFmtId="49" fontId="8" fillId="3" borderId="5" xfId="2" applyNumberFormat="1" applyFont="1" applyFill="1" applyBorder="1" applyAlignment="1">
      <alignment horizontal="center" vertical="center" wrapText="1"/>
    </xf>
    <xf numFmtId="49" fontId="8" fillId="3" borderId="5" xfId="2" applyNumberFormat="1" applyFont="1" applyFill="1" applyBorder="1" applyAlignment="1">
      <alignment horizontal="center" vertical="center"/>
    </xf>
    <xf numFmtId="49" fontId="8" fillId="3" borderId="7" xfId="2" applyNumberFormat="1" applyFont="1" applyFill="1" applyBorder="1" applyAlignment="1">
      <alignment horizontal="left" vertical="center"/>
    </xf>
    <xf numFmtId="49" fontId="8" fillId="3" borderId="8" xfId="2" applyNumberFormat="1" applyFont="1" applyFill="1" applyBorder="1" applyAlignment="1">
      <alignment horizontal="left" vertical="center"/>
    </xf>
    <xf numFmtId="49" fontId="8" fillId="3" borderId="8" xfId="2" applyNumberFormat="1" applyFont="1" applyFill="1" applyBorder="1" applyAlignment="1">
      <alignment horizontal="center" vertical="center"/>
    </xf>
    <xf numFmtId="43" fontId="5" fillId="3" borderId="8" xfId="3" applyFont="1" applyFill="1" applyBorder="1" applyAlignment="1">
      <alignment horizontal="right" vertical="center"/>
    </xf>
    <xf numFmtId="43" fontId="5" fillId="3" borderId="9" xfId="3" applyFont="1" applyFill="1" applyBorder="1" applyAlignment="1">
      <alignment horizontal="right" vertical="center"/>
    </xf>
    <xf numFmtId="49" fontId="9" fillId="3" borderId="5" xfId="2" applyNumberFormat="1" applyFont="1" applyFill="1" applyBorder="1" applyAlignment="1">
      <alignment horizontal="left" vertical="center"/>
    </xf>
    <xf numFmtId="49" fontId="9" fillId="3" borderId="5" xfId="2" applyNumberFormat="1" applyFont="1" applyFill="1" applyBorder="1" applyAlignment="1">
      <alignment horizontal="center" vertical="center"/>
    </xf>
    <xf numFmtId="43" fontId="10" fillId="3" borderId="5" xfId="3" applyFont="1" applyFill="1" applyBorder="1" applyAlignment="1">
      <alignment horizontal="right" vertical="center"/>
    </xf>
    <xf numFmtId="43" fontId="10" fillId="3" borderId="6" xfId="3" applyFont="1" applyFill="1" applyBorder="1" applyAlignment="1">
      <alignment horizontal="right" vertical="center"/>
    </xf>
    <xf numFmtId="43" fontId="10" fillId="3" borderId="8" xfId="3" applyFont="1" applyFill="1" applyBorder="1" applyAlignment="1">
      <alignment horizontal="right" vertical="center"/>
    </xf>
    <xf numFmtId="43" fontId="11" fillId="3" borderId="5" xfId="1" applyFont="1" applyFill="1" applyBorder="1" applyAlignment="1">
      <alignment horizontal="right" vertical="center"/>
    </xf>
    <xf numFmtId="43" fontId="10" fillId="3" borderId="9" xfId="3" applyFont="1" applyFill="1" applyBorder="1" applyAlignment="1">
      <alignment horizontal="right" vertical="center"/>
    </xf>
    <xf numFmtId="43" fontId="6" fillId="3" borderId="5" xfId="1" applyFont="1" applyFill="1" applyBorder="1" applyAlignment="1">
      <alignment horizontal="right" vertical="center"/>
    </xf>
    <xf numFmtId="43" fontId="6" fillId="3" borderId="6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2" applyFont="1" applyAlignment="1">
      <alignment vertical="center" wrapText="1"/>
    </xf>
    <xf numFmtId="0" fontId="1" fillId="4" borderId="0" xfId="2" applyFill="1"/>
    <xf numFmtId="49" fontId="14" fillId="3" borderId="7" xfId="2" applyNumberFormat="1" applyFont="1" applyFill="1" applyBorder="1" applyAlignment="1">
      <alignment horizontal="left" vertical="center"/>
    </xf>
    <xf numFmtId="49" fontId="14" fillId="3" borderId="8" xfId="2" applyNumberFormat="1" applyFont="1" applyFill="1" applyBorder="1" applyAlignment="1">
      <alignment horizontal="left" vertical="center"/>
    </xf>
    <xf numFmtId="49" fontId="14" fillId="3" borderId="9" xfId="2" applyNumberFormat="1" applyFont="1" applyFill="1" applyBorder="1" applyAlignment="1">
      <alignment horizontal="center" vertical="center"/>
    </xf>
    <xf numFmtId="43" fontId="15" fillId="3" borderId="5" xfId="1" applyFont="1" applyFill="1" applyBorder="1" applyAlignment="1">
      <alignment horizontal="right" vertical="center"/>
    </xf>
    <xf numFmtId="49" fontId="3" fillId="3" borderId="0" xfId="2" applyNumberFormat="1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49" fontId="3" fillId="2" borderId="0" xfId="2" applyNumberFormat="1" applyFont="1" applyFill="1" applyAlignment="1">
      <alignment horizontal="left" vertical="center"/>
    </xf>
    <xf numFmtId="49" fontId="9" fillId="3" borderId="6" xfId="2" applyNumberFormat="1" applyFont="1" applyFill="1" applyBorder="1" applyAlignment="1">
      <alignment horizontal="left" vertical="center"/>
    </xf>
    <xf numFmtId="49" fontId="9" fillId="3" borderId="10" xfId="2" applyNumberFormat="1" applyFont="1" applyFill="1" applyBorder="1" applyAlignment="1">
      <alignment horizontal="left" vertical="center"/>
    </xf>
    <xf numFmtId="49" fontId="9" fillId="3" borderId="4" xfId="2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Vírgula" xfId="1" builtinId="3"/>
    <cellStyle name="Vírgula 2" xfId="3" xr:uid="{00000000-0005-0000-0000-000003000000}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5" formatCode="_-* #,##0.00_-;\-* #,##0.00_-;_-* &quot;-&quot;??_-;_-@_-"/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rgb="FFFFFFFF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rgb="FFFFFFFF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rgb="FFFFFFFF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24" displayName="Tabela24" ref="B5:I18" totalsRowShown="0" headerRowDxfId="67" dataDxfId="65" headerRowBorderDxfId="66" tableBorderDxfId="64" totalsRowBorderDxfId="63" headerRowCellStyle="Vírgula" dataCellStyle="Vírgula">
  <autoFilter ref="B5:I18" xr:uid="{00000000-0009-0000-0100-000003000000}"/>
  <tableColumns count="8">
    <tableColumn id="1" xr3:uid="{00000000-0010-0000-0000-000001000000}" name="ILHA" dataDxfId="62"/>
    <tableColumn id="2" xr3:uid="{00000000-0010-0000-0000-000002000000}" name="OPERADOR" dataDxfId="61"/>
    <tableColumn id="3" xr3:uid="{00000000-0010-0000-0000-000003000000}" name="Número IEC" dataDxfId="60"/>
    <tableColumn id="4" xr3:uid="{00000000-0010-0000-0000-000004000000}" name="Litros de Licor" dataDxfId="59" dataCellStyle="Vírgula"/>
    <tableColumn id="5" xr3:uid="{00000000-0010-0000-0000-000005000000}" name="Litros de Álcool Puro" dataDxfId="58" dataCellStyle="Vírgula"/>
    <tableColumn id="6" xr3:uid="{00000000-0010-0000-0000-000006000000}" name="Montante Cobrado (25%) €" dataDxfId="57" dataCellStyle="Vírgula"/>
    <tableColumn id="7" xr3:uid="{00000000-0010-0000-0000-000007000000}" name="Benefício Fiscal (75%) €" dataDxfId="56" dataCellStyle="Vírgula">
      <calculatedColumnFormula>Tabela24[[#This Row],[Montante Cobrado (25%) €]]*3</calculatedColumnFormula>
    </tableColumn>
    <tableColumn id="8" xr3:uid="{00000000-0010-0000-0000-000008000000}" name="IEC TOTAL  (€)" dataDxfId="55" dataCellStyle="Vírgula">
      <calculatedColumnFormula>Tabela24[[#This Row],[Benefício Fiscal (75%) €]]+Tabela24[[#This Row],[Montante Cobrado (25%) €]]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225" displayName="Tabela225" ref="B5:I11" totalsRowShown="0" headerRowDxfId="54" dataDxfId="52" headerRowBorderDxfId="53" tableBorderDxfId="51" totalsRowBorderDxfId="50" headerRowCellStyle="Vírgula" dataCellStyle="Vírgula">
  <autoFilter ref="B5:I11" xr:uid="{00000000-0009-0000-0100-000004000000}"/>
  <tableColumns count="8">
    <tableColumn id="1" xr3:uid="{00000000-0010-0000-0100-000001000000}" name="ILHA" dataDxfId="49"/>
    <tableColumn id="2" xr3:uid="{00000000-0010-0000-0100-000002000000}" name="OPERADOR" dataDxfId="48"/>
    <tableColumn id="3" xr3:uid="{00000000-0010-0000-0100-000003000000}" name="Número IEC" dataDxfId="47"/>
    <tableColumn id="4" xr3:uid="{00000000-0010-0000-0100-000004000000}" name="Litros de Licor" dataDxfId="46" dataCellStyle="Vírgula"/>
    <tableColumn id="5" xr3:uid="{00000000-0010-0000-0100-000005000000}" name="Litros de Álcool Puro" dataDxfId="45" dataCellStyle="Vírgula"/>
    <tableColumn id="6" xr3:uid="{00000000-0010-0000-0100-000006000000}" name="Montante Cobrado (50%) €" dataDxfId="44" dataCellStyle="Vírgula"/>
    <tableColumn id="7" xr3:uid="{00000000-0010-0000-0100-000007000000}" name="Benefício Fiscal (50%) €" dataDxfId="43" dataCellStyle="Vírgula">
      <calculatedColumnFormula>Tabela225[[#This Row],[Montante Cobrado (50%) €]]</calculatedColumnFormula>
    </tableColumn>
    <tableColumn id="8" xr3:uid="{00000000-0010-0000-0100-000008000000}" name="IEC TOTAL  (€)" dataDxfId="42" dataCellStyle="Vírgula">
      <calculatedColumnFormula>Tabela225[[#This Row],[Benefício Fiscal (50%) €]]+Tabela225[[#This Row],[Montante Cobrado (50%) €]]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a18" displayName="Tabela18" ref="B5:I16" totalsRowShown="0" headerRowDxfId="41" dataDxfId="39" headerRowBorderDxfId="40" tableBorderDxfId="38" totalsRowBorderDxfId="37" headerRowCellStyle="Vírgula" dataCellStyle="Vírgula">
  <autoFilter ref="B5:I16" xr:uid="{00000000-0009-0000-0100-000007000000}"/>
  <sortState xmlns:xlrd2="http://schemas.microsoft.com/office/spreadsheetml/2017/richdata2" ref="B6:I16">
    <sortCondition descending="1" ref="E4:E14"/>
  </sortState>
  <tableColumns count="8">
    <tableColumn id="1" xr3:uid="{00000000-0010-0000-0200-000001000000}" name="ILHA" dataDxfId="36" totalsRowDxfId="35" dataCellStyle="Normal 2"/>
    <tableColumn id="2" xr3:uid="{00000000-0010-0000-0200-000002000000}" name="Nome" dataDxfId="34" totalsRowDxfId="33" dataCellStyle="Normal 2"/>
    <tableColumn id="3" xr3:uid="{00000000-0010-0000-0200-000003000000}" name="Número IEC" dataDxfId="32" totalsRowDxfId="31" dataCellStyle="Normal 2"/>
    <tableColumn id="4" xr3:uid="{00000000-0010-0000-0200-000004000000}" name="Litros de Aguardente" dataDxfId="30" totalsRowDxfId="29" dataCellStyle="Vírgula"/>
    <tableColumn id="5" xr3:uid="{00000000-0010-0000-0200-000005000000}" name="Litros de Álcool Puro" dataDxfId="28" totalsRowDxfId="27" dataCellStyle="Vírgula"/>
    <tableColumn id="6" xr3:uid="{00000000-0010-0000-0200-000006000000}" name="Montante Cobrado (25%)" dataDxfId="26" totalsRowDxfId="25" dataCellStyle="Vírgula"/>
    <tableColumn id="7" xr3:uid="{00000000-0010-0000-0200-000007000000}" name="Benefício Fiscal (75%)" dataDxfId="24" totalsRowDxfId="23" dataCellStyle="Vírgula">
      <calculatedColumnFormula>Tabela18[[#This Row],[Montante Cobrado (25%)]]*3</calculatedColumnFormula>
    </tableColumn>
    <tableColumn id="8" xr3:uid="{00000000-0010-0000-0200-000008000000}" name="IEC TOTAL €" dataDxfId="22" totalsRowDxfId="21" dataCellStyle="Vírgul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ela139" displayName="Tabela139" ref="B5:I9" totalsRowShown="0" headerRowDxfId="20" dataDxfId="18" headerRowBorderDxfId="19" tableBorderDxfId="17" totalsRowBorderDxfId="16" headerRowCellStyle="Vírgula" dataCellStyle="Vírgula">
  <autoFilter ref="B5:I9" xr:uid="{00000000-0009-0000-0100-000008000000}"/>
  <sortState xmlns:xlrd2="http://schemas.microsoft.com/office/spreadsheetml/2017/richdata2" ref="B6:I16">
    <sortCondition descending="1" ref="E4:E14"/>
  </sortState>
  <tableColumns count="8">
    <tableColumn id="1" xr3:uid="{00000000-0010-0000-0300-000001000000}" name="ILHA" dataDxfId="15" totalsRowDxfId="14" dataCellStyle="Normal 2"/>
    <tableColumn id="2" xr3:uid="{00000000-0010-0000-0300-000002000000}" name="Nome" dataDxfId="13" totalsRowDxfId="12" dataCellStyle="Normal 2"/>
    <tableColumn id="3" xr3:uid="{00000000-0010-0000-0300-000003000000}" name="Número IEC" dataDxfId="11" totalsRowDxfId="10" dataCellStyle="Normal 2"/>
    <tableColumn id="4" xr3:uid="{00000000-0010-0000-0300-000004000000}" name="Litros de Aguardente" dataDxfId="9" totalsRowDxfId="8" dataCellStyle="Vírgula"/>
    <tableColumn id="5" xr3:uid="{00000000-0010-0000-0300-000005000000}" name="Litros de Álcool Puro" dataDxfId="7" totalsRowDxfId="6" dataCellStyle="Vírgula"/>
    <tableColumn id="6" xr3:uid="{00000000-0010-0000-0300-000006000000}" name="Montante Cobrado (50%)" dataDxfId="5" totalsRowDxfId="4" dataCellStyle="Vírgula"/>
    <tableColumn id="7" xr3:uid="{00000000-0010-0000-0300-000007000000}" name="Benefício Fiscal (50%)" dataDxfId="3" totalsRowDxfId="2" dataCellStyle="Vírgula">
      <calculatedColumnFormula>Tabela139[[#This Row],[Montante Cobrado (50%)]]*3</calculatedColumnFormula>
    </tableColumn>
    <tableColumn id="8" xr3:uid="{00000000-0010-0000-0300-000008000000}" name="IEC TOTAL €" dataDxfId="1" totalsRowDxfId="0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"/>
  <sheetViews>
    <sheetView tabSelected="1" topLeftCell="A8" workbookViewId="0">
      <selection activeCell="C12" sqref="C12"/>
    </sheetView>
  </sheetViews>
  <sheetFormatPr defaultColWidth="9.140625" defaultRowHeight="15" x14ac:dyDescent="0.25"/>
  <cols>
    <col min="1" max="1" width="4" style="15" customWidth="1"/>
    <col min="2" max="2" width="14.5703125" style="15" customWidth="1"/>
    <col min="3" max="3" width="65.140625" style="15" bestFit="1" customWidth="1"/>
    <col min="4" max="4" width="15" style="15" bestFit="1" customWidth="1"/>
    <col min="5" max="5" width="17.28515625" style="15" customWidth="1"/>
    <col min="6" max="6" width="24.7109375" style="15" bestFit="1" customWidth="1"/>
    <col min="7" max="7" width="28.28515625" style="15" bestFit="1" customWidth="1"/>
    <col min="8" max="8" width="23.7109375" style="15" customWidth="1"/>
    <col min="9" max="9" width="19.140625" style="15" bestFit="1" customWidth="1"/>
    <col min="10" max="16384" width="9.140625" style="15"/>
  </cols>
  <sheetData>
    <row r="1" spans="1:9" ht="27" customHeight="1" x14ac:dyDescent="0.25">
      <c r="B1" s="41"/>
      <c r="C1" s="41"/>
      <c r="D1" s="41"/>
      <c r="E1" s="41"/>
      <c r="F1" s="41"/>
      <c r="G1" s="41"/>
      <c r="H1" s="41"/>
      <c r="I1" s="41"/>
    </row>
    <row r="2" spans="1:9" s="2" customFormat="1" ht="25.5" customHeight="1" x14ac:dyDescent="0.25">
      <c r="A2" s="1"/>
      <c r="B2" s="46" t="s">
        <v>59</v>
      </c>
      <c r="C2" s="46"/>
      <c r="D2" s="46"/>
      <c r="E2" s="46"/>
      <c r="F2" s="46"/>
      <c r="G2" s="46"/>
      <c r="H2" s="46"/>
      <c r="I2" s="46"/>
    </row>
    <row r="3" spans="1:9" s="2" customFormat="1" ht="21" customHeight="1" x14ac:dyDescent="0.25">
      <c r="A3" s="1"/>
      <c r="B3" s="47" t="s">
        <v>55</v>
      </c>
      <c r="C3" s="47"/>
      <c r="D3" s="47"/>
      <c r="E3" s="47"/>
      <c r="F3" s="47"/>
      <c r="G3" s="47"/>
      <c r="H3" s="47"/>
      <c r="I3" s="47"/>
    </row>
    <row r="4" spans="1:9" s="2" customFormat="1" ht="22.5" customHeight="1" x14ac:dyDescent="0.25">
      <c r="A4" s="1"/>
      <c r="B4" s="47" t="s">
        <v>56</v>
      </c>
      <c r="C4" s="47"/>
      <c r="D4" s="47"/>
      <c r="E4" s="47"/>
      <c r="F4" s="47"/>
      <c r="G4" s="47"/>
      <c r="H4" s="47"/>
      <c r="I4" s="47"/>
    </row>
    <row r="5" spans="1:9" s="2" customFormat="1" ht="30" customHeight="1" x14ac:dyDescent="0.25">
      <c r="A5" s="1"/>
      <c r="B5" s="5" t="s">
        <v>0</v>
      </c>
      <c r="C5" s="6" t="s">
        <v>1</v>
      </c>
      <c r="D5" s="6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8" t="s">
        <v>7</v>
      </c>
    </row>
    <row r="6" spans="1:9" s="2" customFormat="1" ht="42.75" customHeight="1" x14ac:dyDescent="0.25">
      <c r="A6" s="1"/>
      <c r="B6" s="9" t="s">
        <v>8</v>
      </c>
      <c r="C6" s="10" t="s">
        <v>9</v>
      </c>
      <c r="D6" s="10" t="s">
        <v>10</v>
      </c>
      <c r="E6" s="11">
        <v>14547.4</v>
      </c>
      <c r="F6" s="11">
        <v>3413.9</v>
      </c>
      <c r="G6" s="11">
        <v>13677.03</v>
      </c>
      <c r="H6" s="11">
        <f>Tabela24[[#This Row],[Montante Cobrado (25%) €]]*3</f>
        <v>41031.090000000004</v>
      </c>
      <c r="I6" s="12">
        <f>Tabela24[[#This Row],[Benefício Fiscal (75%) €]]+Tabela24[[#This Row],[Montante Cobrado (25%) €]]</f>
        <v>54708.12</v>
      </c>
    </row>
    <row r="7" spans="1:9" s="2" customFormat="1" ht="42.75" customHeight="1" x14ac:dyDescent="0.25">
      <c r="A7" s="1"/>
      <c r="B7" s="9" t="s">
        <v>8</v>
      </c>
      <c r="C7" s="10" t="s">
        <v>11</v>
      </c>
      <c r="D7" s="10" t="s">
        <v>12</v>
      </c>
      <c r="E7" s="11">
        <v>1198.8</v>
      </c>
      <c r="F7" s="11">
        <v>364.65</v>
      </c>
      <c r="G7" s="11">
        <v>1460.9</v>
      </c>
      <c r="H7" s="11">
        <f>Tabela24[[#This Row],[Montante Cobrado (25%) €]]*3</f>
        <v>4382.7000000000007</v>
      </c>
      <c r="I7" s="12">
        <f>Tabela24[[#This Row],[Benefício Fiscal (75%) €]]+Tabela24[[#This Row],[Montante Cobrado (25%) €]]</f>
        <v>5843.6</v>
      </c>
    </row>
    <row r="8" spans="1:9" s="2" customFormat="1" ht="42.75" customHeight="1" x14ac:dyDescent="0.25">
      <c r="A8" s="1"/>
      <c r="B8" s="9" t="s">
        <v>8</v>
      </c>
      <c r="C8" s="10" t="s">
        <v>13</v>
      </c>
      <c r="D8" s="10" t="s">
        <v>14</v>
      </c>
      <c r="E8" s="11">
        <v>8120</v>
      </c>
      <c r="F8" s="11">
        <v>1834</v>
      </c>
      <c r="G8" s="11">
        <v>7347.5</v>
      </c>
      <c r="H8" s="11">
        <f>Tabela24[[#This Row],[Montante Cobrado (25%) €]]*3</f>
        <v>22042.5</v>
      </c>
      <c r="I8" s="12">
        <f>Tabela24[[#This Row],[Benefício Fiscal (75%) €]]+Tabela24[[#This Row],[Montante Cobrado (25%) €]]</f>
        <v>29390</v>
      </c>
    </row>
    <row r="9" spans="1:9" s="2" customFormat="1" ht="42.75" customHeight="1" x14ac:dyDescent="0.25">
      <c r="A9" s="1"/>
      <c r="B9" s="9" t="s">
        <v>37</v>
      </c>
      <c r="C9" s="10" t="s">
        <v>57</v>
      </c>
      <c r="D9" s="10" t="s">
        <v>58</v>
      </c>
      <c r="E9" s="11">
        <v>881.15</v>
      </c>
      <c r="F9" s="11">
        <v>175.33</v>
      </c>
      <c r="G9" s="11">
        <v>702.41</v>
      </c>
      <c r="H9" s="11">
        <f>Tabela24[[#This Row],[Montante Cobrado (25%) €]]*3</f>
        <v>2107.23</v>
      </c>
      <c r="I9" s="12">
        <f>Tabela24[[#This Row],[Benefício Fiscal (75%) €]]+Tabela24[[#This Row],[Montante Cobrado (25%) €]]</f>
        <v>2809.64</v>
      </c>
    </row>
    <row r="10" spans="1:9" s="2" customFormat="1" ht="42.75" customHeight="1" x14ac:dyDescent="0.25">
      <c r="A10" s="1"/>
      <c r="B10" s="9" t="s">
        <v>8</v>
      </c>
      <c r="C10" s="10" t="s">
        <v>17</v>
      </c>
      <c r="D10" s="10" t="s">
        <v>18</v>
      </c>
      <c r="E10" s="11">
        <v>980</v>
      </c>
      <c r="F10" s="11">
        <v>303.8</v>
      </c>
      <c r="G10" s="11">
        <v>1217.0999999999999</v>
      </c>
      <c r="H10" s="11">
        <f>Tabela24[[#This Row],[Montante Cobrado (25%) €]]*3</f>
        <v>3651.2999999999997</v>
      </c>
      <c r="I10" s="12">
        <f>Tabela24[[#This Row],[Benefício Fiscal (75%) €]]+Tabela24[[#This Row],[Montante Cobrado (25%) €]]</f>
        <v>4868.3999999999996</v>
      </c>
    </row>
    <row r="11" spans="1:9" s="2" customFormat="1" ht="42.75" customHeight="1" x14ac:dyDescent="0.25">
      <c r="A11" s="1"/>
      <c r="B11" s="9" t="s">
        <v>19</v>
      </c>
      <c r="C11" s="10" t="s">
        <v>20</v>
      </c>
      <c r="D11" s="10" t="s">
        <v>21</v>
      </c>
      <c r="E11" s="11">
        <v>158962.4</v>
      </c>
      <c r="F11" s="11">
        <v>46901.5</v>
      </c>
      <c r="G11" s="11">
        <v>187900.5</v>
      </c>
      <c r="H11" s="11">
        <f>Tabela24[[#This Row],[Montante Cobrado (25%) €]]*3</f>
        <v>563701.5</v>
      </c>
      <c r="I11" s="12">
        <f>Tabela24[[#This Row],[Benefício Fiscal (75%) €]]+Tabela24[[#This Row],[Montante Cobrado (25%) €]]</f>
        <v>751602</v>
      </c>
    </row>
    <row r="12" spans="1:9" s="2" customFormat="1" ht="42.75" customHeight="1" x14ac:dyDescent="0.25">
      <c r="A12" s="1"/>
      <c r="B12" s="9" t="s">
        <v>19</v>
      </c>
      <c r="C12" s="10" t="s">
        <v>22</v>
      </c>
      <c r="D12" s="10" t="s">
        <v>23</v>
      </c>
      <c r="E12" s="11">
        <v>168805.4</v>
      </c>
      <c r="F12" s="11">
        <v>31907.49</v>
      </c>
      <c r="G12" s="11">
        <v>127829.72</v>
      </c>
      <c r="H12" s="11">
        <f>Tabela24[[#This Row],[Montante Cobrado (25%) €]]*3</f>
        <v>383489.16000000003</v>
      </c>
      <c r="I12" s="12">
        <f>Tabela24[[#This Row],[Benefício Fiscal (75%) €]]+Tabela24[[#This Row],[Montante Cobrado (25%) €]]</f>
        <v>511318.88</v>
      </c>
    </row>
    <row r="13" spans="1:9" s="2" customFormat="1" ht="42.75" customHeight="1" x14ac:dyDescent="0.25">
      <c r="A13" s="1"/>
      <c r="B13" s="9" t="s">
        <v>19</v>
      </c>
      <c r="C13" s="10" t="s">
        <v>24</v>
      </c>
      <c r="D13" s="10" t="s">
        <v>25</v>
      </c>
      <c r="E13" s="11">
        <v>62133.7</v>
      </c>
      <c r="F13" s="11">
        <v>17460.240000000002</v>
      </c>
      <c r="G13" s="11">
        <v>69950.600000000006</v>
      </c>
      <c r="H13" s="11">
        <f>Tabela24[[#This Row],[Montante Cobrado (25%) €]]*3</f>
        <v>209851.80000000002</v>
      </c>
      <c r="I13" s="12">
        <f>Tabela24[[#This Row],[Benefício Fiscal (75%) €]]+Tabela24[[#This Row],[Montante Cobrado (25%) €]]</f>
        <v>279802.40000000002</v>
      </c>
    </row>
    <row r="14" spans="1:9" s="2" customFormat="1" ht="42.75" customHeight="1" x14ac:dyDescent="0.25">
      <c r="A14" s="1"/>
      <c r="B14" s="9" t="s">
        <v>19</v>
      </c>
      <c r="C14" s="10" t="s">
        <v>26</v>
      </c>
      <c r="D14" s="10" t="s">
        <v>27</v>
      </c>
      <c r="E14" s="11">
        <v>8453.5499999999993</v>
      </c>
      <c r="F14" s="11">
        <v>1824.99</v>
      </c>
      <c r="G14" s="11">
        <v>7311.49</v>
      </c>
      <c r="H14" s="11">
        <f>Tabela24[[#This Row],[Montante Cobrado (25%) €]]*3</f>
        <v>21934.47</v>
      </c>
      <c r="I14" s="12">
        <f>Tabela24[[#This Row],[Benefício Fiscal (75%) €]]+Tabela24[[#This Row],[Montante Cobrado (25%) €]]</f>
        <v>29245.96</v>
      </c>
    </row>
    <row r="15" spans="1:9" s="2" customFormat="1" ht="42.75" customHeight="1" x14ac:dyDescent="0.25">
      <c r="A15" s="1"/>
      <c r="B15" s="9" t="s">
        <v>19</v>
      </c>
      <c r="C15" s="10" t="s">
        <v>28</v>
      </c>
      <c r="D15" s="10" t="s">
        <v>29</v>
      </c>
      <c r="E15" s="11"/>
      <c r="F15" s="11"/>
      <c r="G15" s="11"/>
      <c r="H15" s="11">
        <f>Tabela24[[#This Row],[Montante Cobrado (25%) €]]*3</f>
        <v>0</v>
      </c>
      <c r="I15" s="12">
        <f>Tabela24[[#This Row],[Benefício Fiscal (75%) €]]+Tabela24[[#This Row],[Montante Cobrado (25%) €]]</f>
        <v>0</v>
      </c>
    </row>
    <row r="16" spans="1:9" s="2" customFormat="1" ht="42.75" customHeight="1" x14ac:dyDescent="0.25">
      <c r="A16" s="1"/>
      <c r="B16" s="9" t="s">
        <v>19</v>
      </c>
      <c r="C16" s="10" t="s">
        <v>30</v>
      </c>
      <c r="D16" s="10" t="s">
        <v>31</v>
      </c>
      <c r="E16" s="11">
        <v>1823.4</v>
      </c>
      <c r="F16" s="11">
        <v>495.96</v>
      </c>
      <c r="G16" s="11">
        <v>1986.98</v>
      </c>
      <c r="H16" s="11">
        <f>Tabela24[[#This Row],[Montante Cobrado (25%) €]]*3</f>
        <v>5960.9400000000005</v>
      </c>
      <c r="I16" s="12">
        <f>Tabela24[[#This Row],[Benefício Fiscal (75%) €]]+Tabela24[[#This Row],[Montante Cobrado (25%) €]]</f>
        <v>7947.92</v>
      </c>
    </row>
    <row r="17" spans="1:9" s="2" customFormat="1" ht="42.75" customHeight="1" x14ac:dyDescent="0.25">
      <c r="A17" s="1"/>
      <c r="B17" s="9" t="s">
        <v>8</v>
      </c>
      <c r="C17" s="10" t="s">
        <v>43</v>
      </c>
      <c r="D17" s="10" t="s">
        <v>44</v>
      </c>
      <c r="E17" s="37">
        <v>194</v>
      </c>
      <c r="F17" s="37">
        <v>38.61</v>
      </c>
      <c r="G17" s="37">
        <v>154.69999999999999</v>
      </c>
      <c r="H17" s="37">
        <f>Tabela24[[#This Row],[Montante Cobrado (25%) €]]*3</f>
        <v>464.09999999999997</v>
      </c>
      <c r="I17" s="38">
        <f>Tabela24[[#This Row],[Benefício Fiscal (75%) €]]+Tabela24[[#This Row],[Montante Cobrado (25%) €]]</f>
        <v>618.79999999999995</v>
      </c>
    </row>
    <row r="18" spans="1:9" s="2" customFormat="1" ht="42.75" customHeight="1" x14ac:dyDescent="0.25">
      <c r="A18" s="1"/>
      <c r="B18" s="13"/>
      <c r="C18" s="14"/>
      <c r="D18" s="14"/>
      <c r="E18" s="28">
        <f>SUBTOTAL(109,E6:E17)</f>
        <v>426099.80000000005</v>
      </c>
      <c r="F18" s="28">
        <f>SUBTOTAL(109,F6:F17)</f>
        <v>104720.47000000002</v>
      </c>
      <c r="G18" s="28">
        <f>SUBTOTAL(109,G6:G17)</f>
        <v>419538.93</v>
      </c>
      <c r="H18" s="28">
        <f>Tabela24[[#This Row],[Montante Cobrado (25%) €]]*3</f>
        <v>1258616.79</v>
      </c>
      <c r="I18" s="29">
        <f>Tabela24[[#This Row],[Benefício Fiscal (75%) €]]+Tabela24[[#This Row],[Montante Cobrado (25%) €]]</f>
        <v>1678155.72</v>
      </c>
    </row>
    <row r="19" spans="1:9" s="2" customFormat="1" ht="42.75" customHeight="1" x14ac:dyDescent="0.25">
      <c r="A19" s="1"/>
      <c r="B19" s="15"/>
      <c r="C19" s="15"/>
      <c r="D19" s="15"/>
      <c r="E19" s="15"/>
      <c r="F19" s="15"/>
      <c r="G19" s="15"/>
      <c r="H19" s="15"/>
      <c r="I19" s="15"/>
    </row>
  </sheetData>
  <mergeCells count="3">
    <mergeCell ref="B2:I2"/>
    <mergeCell ref="B3:I3"/>
    <mergeCell ref="B4:I4"/>
  </mergeCells>
  <pageMargins left="0.19685039370078741" right="0.19685039370078741" top="0.74803149606299213" bottom="0.74803149606299213" header="0.31496062992125984" footer="0.31496062992125984"/>
  <pageSetup paperSize="9" scale="6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2"/>
  <sheetViews>
    <sheetView workbookViewId="0">
      <selection activeCell="C13" sqref="C13"/>
    </sheetView>
  </sheetViews>
  <sheetFormatPr defaultColWidth="9.140625" defaultRowHeight="15" x14ac:dyDescent="0.25"/>
  <cols>
    <col min="1" max="1" width="4" style="15" customWidth="1"/>
    <col min="2" max="2" width="14.5703125" style="15" customWidth="1"/>
    <col min="3" max="3" width="65.140625" style="15" bestFit="1" customWidth="1"/>
    <col min="4" max="4" width="15" style="15" bestFit="1" customWidth="1"/>
    <col min="5" max="5" width="17.28515625" style="15" customWidth="1"/>
    <col min="6" max="6" width="24.7109375" style="15" bestFit="1" customWidth="1"/>
    <col min="7" max="7" width="22.85546875" style="15" customWidth="1"/>
    <col min="8" max="8" width="20.5703125" style="15" customWidth="1"/>
    <col min="9" max="9" width="19.140625" style="15" bestFit="1" customWidth="1"/>
    <col min="10" max="16384" width="9.140625" style="15"/>
  </cols>
  <sheetData>
    <row r="1" spans="1:9" ht="22.5" customHeight="1" x14ac:dyDescent="0.25">
      <c r="B1" s="3"/>
      <c r="C1" s="1"/>
      <c r="D1" s="1"/>
      <c r="E1" s="4"/>
      <c r="F1" s="4"/>
      <c r="G1" s="4"/>
      <c r="H1" s="4"/>
      <c r="I1" s="4"/>
    </row>
    <row r="2" spans="1:9" s="2" customFormat="1" ht="25.5" customHeight="1" x14ac:dyDescent="0.25">
      <c r="A2" s="1"/>
      <c r="B2" s="48" t="s">
        <v>60</v>
      </c>
      <c r="C2" s="48"/>
      <c r="D2" s="48"/>
      <c r="E2" s="48"/>
      <c r="F2" s="48"/>
      <c r="G2" s="48"/>
      <c r="H2" s="48"/>
      <c r="I2" s="48"/>
    </row>
    <row r="3" spans="1:9" s="2" customFormat="1" ht="26.25" customHeight="1" x14ac:dyDescent="0.25">
      <c r="A3" s="1"/>
      <c r="B3" s="47" t="s">
        <v>51</v>
      </c>
      <c r="C3" s="47"/>
      <c r="D3" s="47"/>
      <c r="E3" s="47"/>
      <c r="F3" s="47"/>
      <c r="G3" s="47"/>
      <c r="H3" s="47"/>
      <c r="I3" s="47"/>
    </row>
    <row r="4" spans="1:9" s="2" customFormat="1" ht="16.5" customHeight="1" x14ac:dyDescent="0.25">
      <c r="A4" s="1"/>
      <c r="B4" s="47" t="s">
        <v>50</v>
      </c>
      <c r="C4" s="47"/>
      <c r="D4" s="47"/>
      <c r="E4" s="47"/>
      <c r="F4" s="47"/>
      <c r="G4" s="47"/>
      <c r="H4" s="47"/>
      <c r="I4" s="47"/>
    </row>
    <row r="5" spans="1:9" s="2" customFormat="1" ht="30" customHeight="1" x14ac:dyDescent="0.25">
      <c r="A5" s="1"/>
      <c r="B5" s="5" t="s">
        <v>0</v>
      </c>
      <c r="C5" s="6" t="s">
        <v>1</v>
      </c>
      <c r="D5" s="6" t="s">
        <v>2</v>
      </c>
      <c r="E5" s="7" t="s">
        <v>3</v>
      </c>
      <c r="F5" s="7" t="s">
        <v>4</v>
      </c>
      <c r="G5" s="7" t="s">
        <v>48</v>
      </c>
      <c r="H5" s="7" t="s">
        <v>49</v>
      </c>
      <c r="I5" s="8" t="s">
        <v>7</v>
      </c>
    </row>
    <row r="6" spans="1:9" s="2" customFormat="1" ht="42.75" customHeight="1" x14ac:dyDescent="0.25">
      <c r="A6" s="1"/>
      <c r="B6" s="9" t="s">
        <v>8</v>
      </c>
      <c r="C6" s="10" t="s">
        <v>9</v>
      </c>
      <c r="D6" s="10" t="s">
        <v>10</v>
      </c>
      <c r="E6" s="11">
        <v>12.6</v>
      </c>
      <c r="F6" s="11">
        <v>3.15</v>
      </c>
      <c r="G6" s="11">
        <v>25.24</v>
      </c>
      <c r="H6" s="11">
        <f>Tabela225[[#This Row],[Montante Cobrado (50%) €]]</f>
        <v>25.24</v>
      </c>
      <c r="I6" s="12">
        <f>Tabela225[[#This Row],[Benefício Fiscal (50%) €]]+Tabela225[[#This Row],[Montante Cobrado (50%) €]]</f>
        <v>50.48</v>
      </c>
    </row>
    <row r="7" spans="1:9" s="2" customFormat="1" ht="42.75" customHeight="1" x14ac:dyDescent="0.25">
      <c r="A7" s="1"/>
      <c r="B7" s="9" t="s">
        <v>19</v>
      </c>
      <c r="C7" s="10" t="s">
        <v>20</v>
      </c>
      <c r="D7" s="10" t="s">
        <v>21</v>
      </c>
      <c r="E7" s="11">
        <v>1463.1</v>
      </c>
      <c r="F7" s="11">
        <v>389.3</v>
      </c>
      <c r="G7" s="11">
        <v>3119.24</v>
      </c>
      <c r="H7" s="11">
        <f>Tabela225[[#This Row],[Montante Cobrado (50%) €]]</f>
        <v>3119.24</v>
      </c>
      <c r="I7" s="12">
        <f>Tabela225[[#This Row],[Benefício Fiscal (50%) €]]+Tabela225[[#This Row],[Montante Cobrado (50%) €]]</f>
        <v>6238.48</v>
      </c>
    </row>
    <row r="8" spans="1:9" s="2" customFormat="1" ht="42.75" customHeight="1" x14ac:dyDescent="0.25">
      <c r="A8" s="1"/>
      <c r="B8" s="9" t="s">
        <v>19</v>
      </c>
      <c r="C8" s="10" t="s">
        <v>22</v>
      </c>
      <c r="D8" s="10" t="s">
        <v>23</v>
      </c>
      <c r="E8" s="11">
        <v>4879.8</v>
      </c>
      <c r="F8" s="11">
        <v>997.77</v>
      </c>
      <c r="G8" s="11">
        <v>7994.68</v>
      </c>
      <c r="H8" s="11">
        <f>Tabela225[[#This Row],[Montante Cobrado (50%) €]]</f>
        <v>7994.68</v>
      </c>
      <c r="I8" s="12">
        <f>Tabela225[[#This Row],[Benefício Fiscal (50%) €]]+Tabela225[[#This Row],[Montante Cobrado (50%) €]]</f>
        <v>15989.36</v>
      </c>
    </row>
    <row r="9" spans="1:9" s="2" customFormat="1" ht="42.75" customHeight="1" x14ac:dyDescent="0.25">
      <c r="A9" s="1"/>
      <c r="B9" s="9" t="s">
        <v>19</v>
      </c>
      <c r="C9" s="10" t="s">
        <v>24</v>
      </c>
      <c r="D9" s="10" t="s">
        <v>25</v>
      </c>
      <c r="E9" s="11">
        <v>3225</v>
      </c>
      <c r="F9" s="11">
        <v>941.23</v>
      </c>
      <c r="G9" s="11">
        <v>7541.65</v>
      </c>
      <c r="H9" s="11">
        <f>Tabela225[[#This Row],[Montante Cobrado (50%) €]]</f>
        <v>7541.65</v>
      </c>
      <c r="I9" s="12">
        <f>Tabela225[[#This Row],[Benefício Fiscal (50%) €]]+Tabela225[[#This Row],[Montante Cobrado (50%) €]]</f>
        <v>15083.3</v>
      </c>
    </row>
    <row r="10" spans="1:9" s="2" customFormat="1" ht="42.75" customHeight="1" x14ac:dyDescent="0.25">
      <c r="A10" s="1"/>
      <c r="B10" s="9" t="s">
        <v>61</v>
      </c>
      <c r="C10" s="10" t="s">
        <v>62</v>
      </c>
      <c r="D10" s="10"/>
      <c r="E10" s="37">
        <v>9678.5499999999993</v>
      </c>
      <c r="F10" s="37">
        <v>2565.5</v>
      </c>
      <c r="G10" s="37">
        <v>20556.23</v>
      </c>
      <c r="H10" s="37">
        <f>Tabela225[[#This Row],[Montante Cobrado (50%) €]]</f>
        <v>20556.23</v>
      </c>
      <c r="I10" s="38">
        <f>Tabela225[[#This Row],[Benefício Fiscal (50%) €]]+Tabela225[[#This Row],[Montante Cobrado (50%) €]]</f>
        <v>41112.46</v>
      </c>
    </row>
    <row r="11" spans="1:9" s="2" customFormat="1" ht="42.75" customHeight="1" x14ac:dyDescent="0.25">
      <c r="A11" s="1"/>
      <c r="B11" s="13"/>
      <c r="C11" s="14"/>
      <c r="D11" s="14"/>
      <c r="E11" s="28">
        <f>SUBTOTAL(109,E6:E10)</f>
        <v>19259.05</v>
      </c>
      <c r="F11" s="28">
        <f>SUBTOTAL(109,F6:F10)</f>
        <v>4896.95</v>
      </c>
      <c r="G11" s="28">
        <f>SUBTOTAL(109,G6:G10)</f>
        <v>39237.039999999994</v>
      </c>
      <c r="H11" s="28">
        <f>SUBTOTAL(109,H6:H10)</f>
        <v>39237.039999999994</v>
      </c>
      <c r="I11" s="29">
        <f>SUBTOTAL(109,I6:I10)</f>
        <v>78474.079999999987</v>
      </c>
    </row>
    <row r="12" spans="1:9" s="2" customFormat="1" ht="42.75" customHeight="1" x14ac:dyDescent="0.25">
      <c r="A12" s="1"/>
      <c r="B12" s="15"/>
      <c r="C12" s="15"/>
      <c r="D12" s="15"/>
      <c r="E12" s="15"/>
      <c r="F12" s="15"/>
      <c r="G12" s="15"/>
      <c r="H12" s="15"/>
      <c r="I12" s="15"/>
    </row>
  </sheetData>
  <mergeCells count="3">
    <mergeCell ref="B2:I2"/>
    <mergeCell ref="B3:I3"/>
    <mergeCell ref="B4:I4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6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17"/>
  <sheetViews>
    <sheetView zoomScale="80" zoomScaleNormal="80" workbookViewId="0">
      <selection activeCell="E11" sqref="E11"/>
    </sheetView>
  </sheetViews>
  <sheetFormatPr defaultColWidth="9.140625" defaultRowHeight="15" x14ac:dyDescent="0.25"/>
  <cols>
    <col min="1" max="1" width="6.5703125" style="15" customWidth="1"/>
    <col min="2" max="2" width="14.140625" style="15" customWidth="1"/>
    <col min="3" max="3" width="56.7109375" style="15" bestFit="1" customWidth="1"/>
    <col min="4" max="4" width="17.5703125" style="15" customWidth="1"/>
    <col min="5" max="5" width="21" style="15" customWidth="1"/>
    <col min="6" max="6" width="20.85546875" style="15" customWidth="1"/>
    <col min="7" max="7" width="23.7109375" style="15" customWidth="1"/>
    <col min="8" max="8" width="21.5703125" style="15" customWidth="1"/>
    <col min="9" max="9" width="22.85546875" style="15" customWidth="1"/>
    <col min="10" max="16384" width="9.140625" style="15"/>
  </cols>
  <sheetData>
    <row r="1" spans="1:9" s="41" customFormat="1" ht="23.25" customHeight="1" x14ac:dyDescent="0.25"/>
    <row r="2" spans="1:9" ht="20.25" x14ac:dyDescent="0.25">
      <c r="A2" s="16"/>
      <c r="B2" s="48" t="s">
        <v>65</v>
      </c>
      <c r="C2" s="48"/>
      <c r="D2" s="48"/>
      <c r="E2" s="48"/>
      <c r="F2" s="48"/>
      <c r="G2" s="48"/>
      <c r="H2" s="48"/>
      <c r="I2" s="48"/>
    </row>
    <row r="3" spans="1:9" ht="42.75" customHeight="1" x14ac:dyDescent="0.25">
      <c r="A3" s="16"/>
      <c r="B3" s="47" t="s">
        <v>53</v>
      </c>
      <c r="C3" s="47"/>
      <c r="D3" s="47"/>
      <c r="E3" s="47"/>
      <c r="F3" s="47"/>
      <c r="G3" s="47"/>
      <c r="H3" s="47"/>
      <c r="I3" s="47"/>
    </row>
    <row r="4" spans="1:9" ht="42.75" customHeight="1" x14ac:dyDescent="0.25">
      <c r="A4" s="16"/>
      <c r="B4" s="47" t="s">
        <v>54</v>
      </c>
      <c r="C4" s="47"/>
      <c r="D4" s="47"/>
      <c r="E4" s="47"/>
      <c r="F4" s="47"/>
      <c r="G4" s="47"/>
      <c r="H4" s="47"/>
      <c r="I4" s="47"/>
    </row>
    <row r="5" spans="1:9" ht="45.75" customHeight="1" x14ac:dyDescent="0.25">
      <c r="A5" s="16"/>
      <c r="B5" s="17" t="s">
        <v>0</v>
      </c>
      <c r="C5" s="18" t="s">
        <v>32</v>
      </c>
      <c r="D5" s="18" t="s">
        <v>2</v>
      </c>
      <c r="E5" s="19" t="s">
        <v>33</v>
      </c>
      <c r="F5" s="19" t="s">
        <v>4</v>
      </c>
      <c r="G5" s="19" t="s">
        <v>34</v>
      </c>
      <c r="H5" s="19" t="s">
        <v>35</v>
      </c>
      <c r="I5" s="20" t="s">
        <v>36</v>
      </c>
    </row>
    <row r="7" spans="1:9" ht="42.75" customHeight="1" x14ac:dyDescent="0.25">
      <c r="A7" s="16"/>
      <c r="B7" s="21" t="s">
        <v>19</v>
      </c>
      <c r="C7" s="22" t="s">
        <v>22</v>
      </c>
      <c r="D7" s="23" t="s">
        <v>23</v>
      </c>
      <c r="E7" s="32">
        <v>20939.3</v>
      </c>
      <c r="F7" s="32">
        <v>8369.9</v>
      </c>
      <c r="G7" s="32">
        <v>33532.129999999997</v>
      </c>
      <c r="H7" s="32">
        <f>Tabela18[[#This Row],[Montante Cobrado (25%)]]*3</f>
        <v>100596.38999999998</v>
      </c>
      <c r="I7" s="33">
        <f>Tabela18[[#This Row],[Benefício Fiscal (75%)]]+Tabela18[[#This Row],[Montante Cobrado (25%)]]</f>
        <v>134128.51999999999</v>
      </c>
    </row>
    <row r="8" spans="1:9" ht="42.75" customHeight="1" x14ac:dyDescent="0.25">
      <c r="A8" s="16"/>
      <c r="B8" s="21" t="s">
        <v>19</v>
      </c>
      <c r="C8" s="22" t="s">
        <v>20</v>
      </c>
      <c r="D8" s="24" t="s">
        <v>21</v>
      </c>
      <c r="E8" s="32">
        <v>20861</v>
      </c>
      <c r="F8" s="32">
        <v>8344.5</v>
      </c>
      <c r="G8" s="32">
        <v>33430.76</v>
      </c>
      <c r="H8" s="32">
        <f>Tabela18[[#This Row],[Montante Cobrado (25%)]]*3</f>
        <v>100292.28</v>
      </c>
      <c r="I8" s="33">
        <f>Tabela18[[#This Row],[Benefício Fiscal (75%)]]+Tabela18[[#This Row],[Montante Cobrado (25%)]]</f>
        <v>133723.04</v>
      </c>
    </row>
    <row r="9" spans="1:9" ht="42.75" customHeight="1" x14ac:dyDescent="0.25">
      <c r="A9" s="16"/>
      <c r="B9" s="21" t="s">
        <v>19</v>
      </c>
      <c r="C9" s="22" t="s">
        <v>24</v>
      </c>
      <c r="D9" s="24" t="s">
        <v>25</v>
      </c>
      <c r="E9" s="32">
        <v>11715</v>
      </c>
      <c r="F9" s="32">
        <v>4686</v>
      </c>
      <c r="G9" s="32">
        <v>18773.400000000001</v>
      </c>
      <c r="H9" s="32">
        <f>Tabela18[[#This Row],[Montante Cobrado (25%)]]*3</f>
        <v>56320.200000000004</v>
      </c>
      <c r="I9" s="33">
        <f>Tabela18[[#This Row],[Benefício Fiscal (75%)]]+Tabela18[[#This Row],[Montante Cobrado (25%)]]</f>
        <v>75093.600000000006</v>
      </c>
    </row>
    <row r="10" spans="1:9" ht="42.75" customHeight="1" x14ac:dyDescent="0.25">
      <c r="A10" s="16"/>
      <c r="B10" s="21" t="s">
        <v>8</v>
      </c>
      <c r="C10" s="22" t="s">
        <v>9</v>
      </c>
      <c r="D10" s="24" t="s">
        <v>10</v>
      </c>
      <c r="E10" s="32">
        <v>940.1</v>
      </c>
      <c r="F10" s="32">
        <v>470.05</v>
      </c>
      <c r="G10" s="32">
        <v>1883.14</v>
      </c>
      <c r="H10" s="32">
        <f>Tabela18[[#This Row],[Montante Cobrado (25%)]]*3</f>
        <v>5649.42</v>
      </c>
      <c r="I10" s="33">
        <f>Tabela18[[#This Row],[Benefício Fiscal (75%)]]+Tabela18[[#This Row],[Montante Cobrado (25%)]]</f>
        <v>7532.56</v>
      </c>
    </row>
    <row r="11" spans="1:9" ht="42.75" customHeight="1" x14ac:dyDescent="0.25">
      <c r="A11" s="16"/>
      <c r="B11" s="21" t="s">
        <v>8</v>
      </c>
      <c r="C11" s="22" t="s">
        <v>13</v>
      </c>
      <c r="D11" s="24" t="s">
        <v>14</v>
      </c>
      <c r="E11" s="32">
        <v>1820</v>
      </c>
      <c r="F11" s="32">
        <v>891.8</v>
      </c>
      <c r="G11" s="32">
        <v>3572.8</v>
      </c>
      <c r="H11" s="32">
        <f>Tabela18[[#This Row],[Montante Cobrado (25%)]]*3</f>
        <v>10718.400000000001</v>
      </c>
      <c r="I11" s="33">
        <f>Tabela18[[#This Row],[Benefício Fiscal (75%)]]+Tabela18[[#This Row],[Montante Cobrado (25%)]]</f>
        <v>14291.2</v>
      </c>
    </row>
    <row r="12" spans="1:9" ht="42.75" customHeight="1" x14ac:dyDescent="0.25">
      <c r="A12" s="16"/>
      <c r="B12" s="21" t="s">
        <v>40</v>
      </c>
      <c r="C12" s="22" t="s">
        <v>41</v>
      </c>
      <c r="D12" s="24" t="s">
        <v>42</v>
      </c>
      <c r="E12" s="32">
        <v>501.2</v>
      </c>
      <c r="F12" s="32">
        <v>200.48</v>
      </c>
      <c r="G12" s="32">
        <v>803.18</v>
      </c>
      <c r="H12" s="32">
        <f>Tabela18[[#This Row],[Montante Cobrado (25%)]]*3</f>
        <v>2409.54</v>
      </c>
      <c r="I12" s="33">
        <f>Tabela18[[#This Row],[Benefício Fiscal (75%)]]+Tabela18[[#This Row],[Montante Cobrado (25%)]]</f>
        <v>3212.72</v>
      </c>
    </row>
    <row r="13" spans="1:9" ht="42.75" customHeight="1" x14ac:dyDescent="0.25">
      <c r="A13" s="16"/>
      <c r="B13" s="21" t="s">
        <v>8</v>
      </c>
      <c r="C13" s="22" t="s">
        <v>15</v>
      </c>
      <c r="D13" s="24" t="s">
        <v>16</v>
      </c>
      <c r="E13" s="32">
        <v>341.6</v>
      </c>
      <c r="F13" s="32">
        <v>146.58000000000001</v>
      </c>
      <c r="G13" s="32">
        <v>587.21</v>
      </c>
      <c r="H13" s="32">
        <f>Tabela18[[#This Row],[Montante Cobrado (25%)]]*3</f>
        <v>1761.63</v>
      </c>
      <c r="I13" s="33">
        <f>Tabela18[[#This Row],[Benefício Fiscal (75%)]]+Tabela18[[#This Row],[Montante Cobrado (25%)]]</f>
        <v>2348.84</v>
      </c>
    </row>
    <row r="14" spans="1:9" ht="42.75" customHeight="1" x14ac:dyDescent="0.25">
      <c r="A14" s="16"/>
      <c r="B14" s="21" t="s">
        <v>8</v>
      </c>
      <c r="C14" s="22" t="s">
        <v>64</v>
      </c>
      <c r="D14" s="24" t="s">
        <v>12</v>
      </c>
      <c r="E14" s="32">
        <v>126</v>
      </c>
      <c r="F14" s="32">
        <v>62.37</v>
      </c>
      <c r="G14" s="32">
        <v>249.87</v>
      </c>
      <c r="H14" s="32">
        <f>Tabela18[[#This Row],[Montante Cobrado (25%)]]*3</f>
        <v>749.61</v>
      </c>
      <c r="I14" s="33">
        <f>Tabela18[[#This Row],[Benefício Fiscal (75%)]]+Tabela18[[#This Row],[Montante Cobrado (25%)]]</f>
        <v>999.48</v>
      </c>
    </row>
    <row r="15" spans="1:9" ht="42" customHeight="1" x14ac:dyDescent="0.25">
      <c r="B15" s="25" t="s">
        <v>37</v>
      </c>
      <c r="C15" s="26" t="s">
        <v>38</v>
      </c>
      <c r="D15" s="27" t="s">
        <v>39</v>
      </c>
      <c r="E15" s="34">
        <v>66</v>
      </c>
      <c r="F15" s="34">
        <v>32.340000000000003</v>
      </c>
      <c r="G15" s="34">
        <v>129.55000000000001</v>
      </c>
      <c r="H15" s="34">
        <f>Tabela18[[#This Row],[Montante Cobrado (25%)]]*3</f>
        <v>388.65000000000003</v>
      </c>
      <c r="I15" s="33">
        <f>SUM(G15:G16)</f>
        <v>408.43</v>
      </c>
    </row>
    <row r="16" spans="1:9" ht="37.5" customHeight="1" x14ac:dyDescent="0.25">
      <c r="B16" s="25" t="s">
        <v>8</v>
      </c>
      <c r="C16" s="26" t="s">
        <v>63</v>
      </c>
      <c r="D16" s="27" t="s">
        <v>44</v>
      </c>
      <c r="E16" s="34">
        <v>152</v>
      </c>
      <c r="F16" s="34">
        <v>69.62</v>
      </c>
      <c r="G16" s="34">
        <v>278.88</v>
      </c>
      <c r="H16" s="34">
        <f>Tabela18[[#This Row],[Montante Cobrado (25%)]]*3</f>
        <v>836.64</v>
      </c>
      <c r="I16" s="36">
        <f>Tabela18[[#This Row],[Benefício Fiscal (75%)]]+Tabela18[[#This Row],[Montante Cobrado (25%)]]</f>
        <v>1115.52</v>
      </c>
    </row>
    <row r="17" spans="1:9" ht="42.75" customHeight="1" x14ac:dyDescent="0.25">
      <c r="A17" s="16"/>
      <c r="B17" s="30"/>
      <c r="C17" s="30"/>
      <c r="D17" s="31"/>
      <c r="E17" s="35">
        <f>SUBTOTAL(109,Tabela18[Litros de Aguardente])</f>
        <v>57462.2</v>
      </c>
      <c r="F17" s="35">
        <f>SUBTOTAL(109,Tabela18[Litros de Álcool Puro])</f>
        <v>23273.64</v>
      </c>
      <c r="G17" s="35">
        <f>SUBTOTAL(109,Tabela18[Montante Cobrado (25%)])</f>
        <v>93240.920000000013</v>
      </c>
      <c r="H17" s="35">
        <f>SUBTOTAL(109,Tabela18[Benefício Fiscal (75%)])</f>
        <v>279722.76</v>
      </c>
      <c r="I17" s="35">
        <f>SUBTOTAL(109,Tabela18[IEC TOTAL €])</f>
        <v>372853.91000000003</v>
      </c>
    </row>
  </sheetData>
  <mergeCells count="3">
    <mergeCell ref="B2:I2"/>
    <mergeCell ref="B3:I3"/>
    <mergeCell ref="B4:I4"/>
  </mergeCells>
  <pageMargins left="0.31496062992125984" right="0.11811023622047245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33"/>
  <sheetViews>
    <sheetView workbookViewId="0">
      <selection activeCell="C7" sqref="C7"/>
    </sheetView>
  </sheetViews>
  <sheetFormatPr defaultColWidth="9.140625" defaultRowHeight="15" x14ac:dyDescent="0.25"/>
  <cols>
    <col min="1" max="1" width="6.5703125" style="15" customWidth="1"/>
    <col min="2" max="2" width="14.140625" style="15" customWidth="1"/>
    <col min="3" max="3" width="56.7109375" style="15" bestFit="1" customWidth="1"/>
    <col min="4" max="4" width="17.5703125" style="15" customWidth="1"/>
    <col min="5" max="5" width="21.140625" style="15" customWidth="1"/>
    <col min="6" max="6" width="20.85546875" style="15" customWidth="1"/>
    <col min="7" max="7" width="23.7109375" style="15" customWidth="1"/>
    <col min="8" max="8" width="17.85546875" style="15" customWidth="1"/>
    <col min="9" max="9" width="19" style="15" customWidth="1"/>
    <col min="10" max="16384" width="9.140625" style="15"/>
  </cols>
  <sheetData>
    <row r="1" spans="1:9" ht="25.5" customHeight="1" x14ac:dyDescent="0.25">
      <c r="B1" s="47"/>
      <c r="C1" s="47"/>
      <c r="D1" s="47"/>
      <c r="E1" s="47"/>
      <c r="F1" s="47"/>
      <c r="G1" s="47"/>
      <c r="H1" s="47"/>
      <c r="I1" s="47"/>
    </row>
    <row r="2" spans="1:9" ht="20.25" x14ac:dyDescent="0.25">
      <c r="A2" s="16"/>
      <c r="B2" s="48" t="s">
        <v>65</v>
      </c>
      <c r="C2" s="48"/>
      <c r="D2" s="48"/>
      <c r="E2" s="48"/>
      <c r="F2" s="48"/>
      <c r="G2" s="48"/>
      <c r="H2" s="48"/>
      <c r="I2" s="48"/>
    </row>
    <row r="3" spans="1:9" ht="25.5" customHeight="1" x14ac:dyDescent="0.25">
      <c r="A3" s="16"/>
      <c r="B3" s="47" t="s">
        <v>52</v>
      </c>
      <c r="C3" s="47"/>
      <c r="D3" s="47"/>
      <c r="E3" s="47"/>
      <c r="F3" s="47"/>
      <c r="G3" s="47"/>
      <c r="H3" s="47"/>
      <c r="I3" s="47"/>
    </row>
    <row r="4" spans="1:9" ht="18" customHeight="1" x14ac:dyDescent="0.25">
      <c r="A4" s="16"/>
      <c r="B4" s="47" t="s">
        <v>45</v>
      </c>
      <c r="C4" s="47"/>
      <c r="D4" s="47"/>
      <c r="E4" s="47"/>
      <c r="F4" s="47"/>
      <c r="G4" s="47"/>
      <c r="H4" s="47"/>
      <c r="I4" s="47"/>
    </row>
    <row r="5" spans="1:9" ht="45.75" customHeight="1" x14ac:dyDescent="0.25">
      <c r="A5" s="16"/>
      <c r="B5" s="17" t="s">
        <v>0</v>
      </c>
      <c r="C5" s="18" t="s">
        <v>32</v>
      </c>
      <c r="D5" s="18" t="s">
        <v>2</v>
      </c>
      <c r="E5" s="19" t="s">
        <v>33</v>
      </c>
      <c r="F5" s="19" t="s">
        <v>4</v>
      </c>
      <c r="G5" s="19" t="s">
        <v>46</v>
      </c>
      <c r="H5" s="19" t="s">
        <v>47</v>
      </c>
      <c r="I5" s="20" t="s">
        <v>36</v>
      </c>
    </row>
    <row r="7" spans="1:9" ht="42.75" customHeight="1" x14ac:dyDescent="0.25">
      <c r="A7" s="16"/>
      <c r="B7" s="21" t="s">
        <v>19</v>
      </c>
      <c r="C7" s="22" t="s">
        <v>22</v>
      </c>
      <c r="D7" s="23" t="s">
        <v>23</v>
      </c>
      <c r="E7" s="32">
        <v>183</v>
      </c>
      <c r="F7" s="32">
        <v>72.3</v>
      </c>
      <c r="G7" s="32">
        <v>579.30999999999995</v>
      </c>
      <c r="H7" s="32">
        <f>Tabela139[[#This Row],[Montante Cobrado (50%)]]</f>
        <v>579.30999999999995</v>
      </c>
      <c r="I7" s="33">
        <f>Tabela139[[#This Row],[Benefício Fiscal (50%)]]+Tabela139[[#This Row],[Montante Cobrado (50%)]]</f>
        <v>1158.6199999999999</v>
      </c>
    </row>
    <row r="8" spans="1:9" ht="42.75" customHeight="1" x14ac:dyDescent="0.25">
      <c r="A8" s="16"/>
      <c r="B8" s="21" t="s">
        <v>19</v>
      </c>
      <c r="C8" s="22" t="s">
        <v>20</v>
      </c>
      <c r="D8" s="24" t="s">
        <v>21</v>
      </c>
      <c r="E8" s="32">
        <v>260.8</v>
      </c>
      <c r="F8" s="32">
        <v>104.32</v>
      </c>
      <c r="G8" s="32">
        <v>835.86</v>
      </c>
      <c r="H8" s="32">
        <f>Tabela139[[#This Row],[Montante Cobrado (50%)]]</f>
        <v>835.86</v>
      </c>
      <c r="I8" s="33">
        <f>Tabela139[[#This Row],[Benefício Fiscal (50%)]]+Tabela139[[#This Row],[Montante Cobrado (50%)]]</f>
        <v>1671.72</v>
      </c>
    </row>
    <row r="9" spans="1:9" ht="42.75" customHeight="1" x14ac:dyDescent="0.25">
      <c r="A9" s="16"/>
      <c r="B9" s="42" t="s">
        <v>66</v>
      </c>
      <c r="C9" s="43" t="s">
        <v>67</v>
      </c>
      <c r="D9" s="44"/>
      <c r="E9" s="45">
        <v>596.4</v>
      </c>
      <c r="F9" s="45">
        <v>261.27999999999997</v>
      </c>
      <c r="G9" s="45">
        <v>1158.3900000000001</v>
      </c>
      <c r="H9" s="45">
        <f>Tabela139[[#This Row],[Montante Cobrado (50%)]]*3</f>
        <v>3475.17</v>
      </c>
      <c r="I9" s="45">
        <f>Tabela139[[#This Row],[Benefício Fiscal (50%)]]+Tabela139[[#This Row],[Montante Cobrado (50%)]]</f>
        <v>4633.5600000000004</v>
      </c>
    </row>
    <row r="10" spans="1:9" ht="42.75" customHeight="1" x14ac:dyDescent="0.25">
      <c r="A10" s="16"/>
      <c r="B10" s="49"/>
      <c r="C10" s="50"/>
      <c r="D10" s="51"/>
      <c r="E10" s="35">
        <f>SUBTOTAL(109,Tabela139[Litros de Aguardente])</f>
        <v>1040.2</v>
      </c>
      <c r="F10" s="35">
        <f>SUBTOTAL(109,Tabela139[Litros de Álcool Puro])</f>
        <v>437.9</v>
      </c>
      <c r="G10" s="35">
        <f>SUBTOTAL(109,Tabela139[Montante Cobrado (50%)])</f>
        <v>2573.5600000000004</v>
      </c>
      <c r="H10" s="35">
        <f>SUBTOTAL(109,Tabela139[Benefício Fiscal (50%)])</f>
        <v>4890.34</v>
      </c>
      <c r="I10" s="35">
        <f>SUBTOTAL(109,Tabela139[IEC TOTAL €])</f>
        <v>7463.9000000000005</v>
      </c>
    </row>
    <row r="13" spans="1:9" ht="15.75" customHeight="1" x14ac:dyDescent="0.25">
      <c r="B13" s="40"/>
      <c r="C13" s="40"/>
      <c r="D13" s="40"/>
      <c r="E13" s="40"/>
      <c r="F13" s="40"/>
      <c r="G13" s="40"/>
      <c r="H13" s="40"/>
      <c r="I13" s="40"/>
    </row>
    <row r="17" spans="2:2" ht="72" customHeight="1" x14ac:dyDescent="0.25">
      <c r="B17" s="39"/>
    </row>
    <row r="18" spans="2:2" x14ac:dyDescent="0.25">
      <c r="B18" s="39"/>
    </row>
    <row r="19" spans="2:2" x14ac:dyDescent="0.25">
      <c r="B19" s="39"/>
    </row>
    <row r="20" spans="2:2" x14ac:dyDescent="0.25">
      <c r="B20" s="39"/>
    </row>
    <row r="21" spans="2:2" x14ac:dyDescent="0.25">
      <c r="B21" s="39"/>
    </row>
    <row r="22" spans="2:2" x14ac:dyDescent="0.25">
      <c r="B22" s="39"/>
    </row>
    <row r="23" spans="2:2" x14ac:dyDescent="0.25">
      <c r="B23" s="39"/>
    </row>
    <row r="24" spans="2:2" x14ac:dyDescent="0.25">
      <c r="B24" s="39"/>
    </row>
    <row r="25" spans="2:2" x14ac:dyDescent="0.25">
      <c r="B25" s="39"/>
    </row>
    <row r="26" spans="2:2" x14ac:dyDescent="0.25">
      <c r="B26" s="39"/>
    </row>
    <row r="27" spans="2:2" x14ac:dyDescent="0.25">
      <c r="B27" s="39"/>
    </row>
    <row r="28" spans="2:2" x14ac:dyDescent="0.25">
      <c r="B28" s="39"/>
    </row>
    <row r="29" spans="2:2" x14ac:dyDescent="0.25">
      <c r="B29" s="39"/>
    </row>
    <row r="30" spans="2:2" x14ac:dyDescent="0.25">
      <c r="B30" s="39"/>
    </row>
    <row r="31" spans="2:2" x14ac:dyDescent="0.25">
      <c r="B31" s="39"/>
    </row>
    <row r="32" spans="2:2" x14ac:dyDescent="0.25">
      <c r="B32" s="39"/>
    </row>
    <row r="33" spans="2:2" x14ac:dyDescent="0.25">
      <c r="B33" s="39"/>
    </row>
  </sheetData>
  <mergeCells count="5">
    <mergeCell ref="B1:I1"/>
    <mergeCell ref="B2:I2"/>
    <mergeCell ref="B3:I3"/>
    <mergeCell ref="B4:I4"/>
    <mergeCell ref="B10:D10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2024 Licor 25%</vt:lpstr>
      <vt:lpstr>2024 Licor Regional p fora 50%</vt:lpstr>
      <vt:lpstr>2024 Aguardente 25%</vt:lpstr>
      <vt:lpstr>2024 Ag Regional p Fora 50%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2025-04-09T10:21:10Z</dcterms:modified>
</cp:coreProperties>
</file>