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Licor 25%" sheetId="2" r:id="rId1"/>
    <sheet name="Aguardente 25%" sheetId="3" r:id="rId2"/>
    <sheet name="Licor Regional para fora 50%" sheetId="4" r:id="rId3"/>
    <sheet name="Aguardente Regional p Fora 50%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4" l="1"/>
  <c r="H8" i="4"/>
  <c r="H7" i="4"/>
  <c r="H6" i="4"/>
  <c r="H8" i="5"/>
  <c r="H7" i="5"/>
  <c r="G9" i="5" l="1"/>
  <c r="F9" i="5"/>
  <c r="E9" i="5"/>
  <c r="I8" i="5"/>
  <c r="H9" i="5"/>
  <c r="G10" i="4"/>
  <c r="F10" i="4"/>
  <c r="E10" i="4"/>
  <c r="I9" i="4"/>
  <c r="I8" i="4"/>
  <c r="I7" i="4"/>
  <c r="I6" i="4"/>
  <c r="H10" i="4" l="1"/>
  <c r="I10" i="4" s="1"/>
  <c r="I7" i="5"/>
  <c r="I9" i="5" s="1"/>
  <c r="G20" i="2"/>
  <c r="F20" i="2"/>
  <c r="E20" i="2"/>
  <c r="H6" i="2"/>
  <c r="I6" i="2" s="1"/>
  <c r="H7" i="2"/>
  <c r="I7" i="2" s="1"/>
  <c r="H8" i="2"/>
  <c r="I8" i="2" s="1"/>
  <c r="H9" i="2"/>
  <c r="I9" i="2" s="1"/>
  <c r="H10" i="2"/>
  <c r="I10" i="2" s="1"/>
  <c r="H11" i="2"/>
  <c r="I11" i="2" s="1"/>
  <c r="H12" i="2"/>
  <c r="I12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G17" i="3"/>
  <c r="F17" i="3"/>
  <c r="E17" i="3"/>
  <c r="H13" i="3"/>
  <c r="H10" i="3"/>
  <c r="H14" i="3"/>
  <c r="H11" i="3"/>
  <c r="H12" i="3"/>
  <c r="H16" i="3"/>
  <c r="H9" i="3"/>
  <c r="H8" i="3"/>
  <c r="I13" i="3"/>
  <c r="I10" i="3"/>
  <c r="I14" i="3"/>
  <c r="I11" i="3"/>
  <c r="I12" i="3"/>
  <c r="I16" i="3"/>
  <c r="I9" i="3"/>
  <c r="I8" i="3"/>
  <c r="I15" i="3"/>
  <c r="H7" i="3"/>
  <c r="I7" i="3" s="1"/>
  <c r="I17" i="3" s="1"/>
  <c r="H15" i="3"/>
  <c r="H17" i="3" l="1"/>
</calcChain>
</file>

<file path=xl/sharedStrings.xml><?xml version="1.0" encoding="utf-8"?>
<sst xmlns="http://schemas.openxmlformats.org/spreadsheetml/2006/main" count="134" uniqueCount="67">
  <si>
    <t>ILHA</t>
  </si>
  <si>
    <t>OPERADOR</t>
  </si>
  <si>
    <t>Número IEC</t>
  </si>
  <si>
    <t>Litros de Licor</t>
  </si>
  <si>
    <t>Litros de Álcool Puro</t>
  </si>
  <si>
    <t>Montante Cobrado (25%) €</t>
  </si>
  <si>
    <t>Benefício Fiscal (75%) €</t>
  </si>
  <si>
    <t>IEC TOTAL  (€)</t>
  </si>
  <si>
    <t>PICO</t>
  </si>
  <si>
    <t>LEONILDA DE FATIMA PEREIRA DA SILVEIRA</t>
  </si>
  <si>
    <t>PT01152774629</t>
  </si>
  <si>
    <t>COOPERATIVA VITIVINÍCOLA DA ILHA DO PICO (CVIP)-PICOWINES CRL</t>
  </si>
  <si>
    <t>PT01512010617</t>
  </si>
  <si>
    <t>ALDA MARIA FREITAS COSTA</t>
  </si>
  <si>
    <t>PT01118885103</t>
  </si>
  <si>
    <t>MANUEL JOSE MACHADO</t>
  </si>
  <si>
    <t>PT01180001396</t>
  </si>
  <si>
    <t>MANUEL ALBERTO SILVEIRA LARANJO</t>
  </si>
  <si>
    <t>PT01175564663</t>
  </si>
  <si>
    <t>SÃO MIGUEL</t>
  </si>
  <si>
    <t>LIMA &amp; QUENTAL, LDA</t>
  </si>
  <si>
    <t>PT01512002479</t>
  </si>
  <si>
    <t>FABRICA DE LICORES EDUARDO FERREIRA &amp; FILHOS LDA</t>
  </si>
  <si>
    <t>PT01512045704</t>
  </si>
  <si>
    <t>MANUEL FRANCISCO SIMAS RAINHA</t>
  </si>
  <si>
    <t>PT01176270949</t>
  </si>
  <si>
    <t>COOPERATIVA CELEIRO DA TERRA CRL</t>
  </si>
  <si>
    <t>PT01512052670</t>
  </si>
  <si>
    <t>PRODUÇÕES EM LINHA, LDA</t>
  </si>
  <si>
    <t>PT01512010013</t>
  </si>
  <si>
    <t>ANA ARRUDA UNIPESSOAL LDA</t>
  </si>
  <si>
    <t>PT01509837417</t>
  </si>
  <si>
    <t>Nome</t>
  </si>
  <si>
    <t>Litros de Aguardente</t>
  </si>
  <si>
    <t>Montante Cobrado (25%)</t>
  </si>
  <si>
    <t>Benefício Fiscal (75%)</t>
  </si>
  <si>
    <t>IEC TOTAL €</t>
  </si>
  <si>
    <t>TERCEIRA</t>
  </si>
  <si>
    <t>MANUEL FERNANDO GOMES PEREIRA</t>
  </si>
  <si>
    <t>PT01101502443</t>
  </si>
  <si>
    <t>GRACIOSA</t>
  </si>
  <si>
    <t>ADEGA E COOPERATIVA AGRICOLA DA ILHA GRACIOSA</t>
  </si>
  <si>
    <t>PT01512017891</t>
  </si>
  <si>
    <t>INTRODUÇÃO NO CONSUMO - LICOR - 2023</t>
  </si>
  <si>
    <t>JOSÉ FERNANDO DA ROSA</t>
  </si>
  <si>
    <t>PT01166634298</t>
  </si>
  <si>
    <t>INTRODUÇÃO NO CONSUMO - AGUARDENTE - 2023</t>
  </si>
  <si>
    <t>FORTUNATO GARCIA</t>
  </si>
  <si>
    <t>PT01181052709</t>
  </si>
  <si>
    <t>AGROMARIENSECOOP, CRL</t>
  </si>
  <si>
    <t>SANTA MARIA</t>
  </si>
  <si>
    <t>PT01512092486</t>
  </si>
  <si>
    <t>LEONARDO SILVA</t>
  </si>
  <si>
    <t>PT01143549863</t>
  </si>
  <si>
    <t>AGUARDENTE REGIONAL - PRODUZIDA NOS AÇORES E CONSUMIDA NO CONTINENTE</t>
  </si>
  <si>
    <t>Montante Cobrado (50%)</t>
  </si>
  <si>
    <t>Benefício Fiscal (50%)</t>
  </si>
  <si>
    <t>Montante Cobrado (50%) €</t>
  </si>
  <si>
    <t>Benefício Fiscal (50%) €</t>
  </si>
  <si>
    <t>LICORES REGIONAIS - PRODUZIDOS NOS AÇORES E CONSUMIDOS NO CONTINENTE</t>
  </si>
  <si>
    <r>
      <t>AÇORES - TAXA REDUZIDA -</t>
    </r>
    <r>
      <rPr>
        <b/>
        <sz val="10"/>
        <color rgb="FFFF0000"/>
        <rFont val="Arial"/>
        <family val="2"/>
      </rPr>
      <t xml:space="preserve"> 50%</t>
    </r>
  </si>
  <si>
    <r>
      <t xml:space="preserve">AÇORES - TAXA REDUZIDA - </t>
    </r>
    <r>
      <rPr>
        <b/>
        <sz val="10"/>
        <color rgb="FFFF0000"/>
        <rFont val="Arial"/>
        <family val="2"/>
      </rPr>
      <t>50%</t>
    </r>
  </si>
  <si>
    <r>
      <t xml:space="preserve">AÇORES - TAXA REDUZIDA - </t>
    </r>
    <r>
      <rPr>
        <b/>
        <sz val="10"/>
        <color rgb="FFFF0000"/>
        <rFont val="Arial"/>
        <family val="2"/>
      </rPr>
      <t>25%</t>
    </r>
  </si>
  <si>
    <t>AGUARDENTE REGIONAL - PRODUZIDA E CONSUMIDA NOS AÇORES</t>
  </si>
  <si>
    <r>
      <t>AÇORES - TAXA REDUZIDA -</t>
    </r>
    <r>
      <rPr>
        <b/>
        <sz val="10"/>
        <color rgb="FFFF0000"/>
        <rFont val="Arial"/>
        <family val="2"/>
      </rPr>
      <t xml:space="preserve"> 25%</t>
    </r>
  </si>
  <si>
    <t>LICORES REGIONAIS - PRODUZIDOS E CONSUMIDOS NOS AÇORES</t>
  </si>
  <si>
    <t>INTRODUÇÃO NO CONSUMO - LICORES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</si>
</sst>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u/>
      <sz val="16"/>
      <color rgb="FF333333"/>
      <name val="Arial"/>
      <family val="2"/>
    </font>
    <font>
      <b/>
      <sz val="9"/>
      <color rgb="FF33333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</font>
    <font>
      <sz val="11"/>
      <name val="Arial"/>
      <family val="2"/>
    </font>
    <font>
      <b/>
      <sz val="11"/>
      <name val="Arial"/>
      <family val="2"/>
    </font>
    <font>
      <b/>
      <sz val="10"/>
      <color rgb="FF333333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2" applyFont="1" applyFill="1" applyAlignment="1">
      <alignment horizontal="left" vertical="center"/>
    </xf>
    <xf numFmtId="0" fontId="1" fillId="0" borderId="0" xfId="2" applyAlignment="1">
      <alignment vertical="center"/>
    </xf>
    <xf numFmtId="0" fontId="4" fillId="2" borderId="0" xfId="2" applyFont="1" applyFill="1" applyAlignment="1">
      <alignment horizontal="left" vertical="center"/>
    </xf>
    <xf numFmtId="43" fontId="2" fillId="2" borderId="0" xfId="3" applyFont="1" applyFill="1" applyAlignment="1">
      <alignment horizontal="left" vertical="center"/>
    </xf>
    <xf numFmtId="49" fontId="5" fillId="3" borderId="1" xfId="2" applyNumberFormat="1" applyFont="1" applyFill="1" applyBorder="1" applyAlignment="1">
      <alignment horizontal="center" vertical="center" wrapText="1"/>
    </xf>
    <xf numFmtId="49" fontId="5" fillId="3" borderId="2" xfId="2" applyNumberFormat="1" applyFont="1" applyFill="1" applyBorder="1" applyAlignment="1">
      <alignment horizontal="center" vertical="center" wrapText="1"/>
    </xf>
    <xf numFmtId="43" fontId="5" fillId="3" borderId="2" xfId="3" applyFont="1" applyFill="1" applyBorder="1" applyAlignment="1">
      <alignment horizontal="center" vertical="center" wrapText="1"/>
    </xf>
    <xf numFmtId="43" fontId="5" fillId="3" borderId="3" xfId="3" applyFont="1" applyFill="1" applyBorder="1" applyAlignment="1">
      <alignment horizontal="center" vertical="center" wrapText="1"/>
    </xf>
    <xf numFmtId="49" fontId="6" fillId="3" borderId="4" xfId="2" applyNumberFormat="1" applyFont="1" applyFill="1" applyBorder="1" applyAlignment="1">
      <alignment horizontal="left" vertical="center"/>
    </xf>
    <xf numFmtId="49" fontId="6" fillId="3" borderId="5" xfId="2" applyNumberFormat="1" applyFont="1" applyFill="1" applyBorder="1" applyAlignment="1">
      <alignment horizontal="left" vertical="center"/>
    </xf>
    <xf numFmtId="43" fontId="6" fillId="3" borderId="5" xfId="3" applyFont="1" applyFill="1" applyBorder="1" applyAlignment="1">
      <alignment horizontal="right" vertical="center"/>
    </xf>
    <xf numFmtId="43" fontId="6" fillId="3" borderId="6" xfId="3" applyFont="1" applyFill="1" applyBorder="1" applyAlignment="1">
      <alignment horizontal="right" vertical="center"/>
    </xf>
    <xf numFmtId="49" fontId="6" fillId="3" borderId="7" xfId="2" applyNumberFormat="1" applyFont="1" applyFill="1" applyBorder="1" applyAlignment="1">
      <alignment horizontal="left" vertical="center"/>
    </xf>
    <xf numFmtId="49" fontId="6" fillId="3" borderId="8" xfId="2" applyNumberFormat="1" applyFont="1" applyFill="1" applyBorder="1" applyAlignment="1">
      <alignment horizontal="left" vertical="center"/>
    </xf>
    <xf numFmtId="0" fontId="1" fillId="0" borderId="0" xfId="2"/>
    <xf numFmtId="0" fontId="2" fillId="2" borderId="0" xfId="2" applyFont="1" applyFill="1" applyAlignment="1">
      <alignment horizontal="left"/>
    </xf>
    <xf numFmtId="49" fontId="7" fillId="3" borderId="1" xfId="2" applyNumberFormat="1" applyFont="1" applyFill="1" applyBorder="1" applyAlignment="1">
      <alignment horizontal="center" vertical="center" wrapText="1"/>
    </xf>
    <xf numFmtId="49" fontId="7" fillId="3" borderId="2" xfId="2" applyNumberFormat="1" applyFont="1" applyFill="1" applyBorder="1" applyAlignment="1">
      <alignment horizontal="center" vertical="center" wrapText="1"/>
    </xf>
    <xf numFmtId="43" fontId="7" fillId="3" borderId="2" xfId="3" applyFont="1" applyFill="1" applyBorder="1" applyAlignment="1">
      <alignment horizontal="center" vertical="center" wrapText="1"/>
    </xf>
    <xf numFmtId="43" fontId="7" fillId="3" borderId="3" xfId="3" applyFont="1" applyFill="1" applyBorder="1" applyAlignment="1">
      <alignment horizontal="center" vertical="center" wrapText="1"/>
    </xf>
    <xf numFmtId="49" fontId="8" fillId="3" borderId="4" xfId="2" applyNumberFormat="1" applyFont="1" applyFill="1" applyBorder="1" applyAlignment="1">
      <alignment horizontal="left" vertical="center"/>
    </xf>
    <xf numFmtId="49" fontId="8" fillId="3" borderId="5" xfId="2" applyNumberFormat="1" applyFont="1" applyFill="1" applyBorder="1" applyAlignment="1">
      <alignment horizontal="left" vertical="center"/>
    </xf>
    <xf numFmtId="49" fontId="8" fillId="3" borderId="5" xfId="2" applyNumberFormat="1" applyFont="1" applyFill="1" applyBorder="1" applyAlignment="1">
      <alignment horizontal="center" vertical="center" wrapText="1"/>
    </xf>
    <xf numFmtId="49" fontId="8" fillId="3" borderId="5" xfId="2" applyNumberFormat="1" applyFont="1" applyFill="1" applyBorder="1" applyAlignment="1">
      <alignment horizontal="center" vertical="center"/>
    </xf>
    <xf numFmtId="49" fontId="8" fillId="3" borderId="7" xfId="2" applyNumberFormat="1" applyFont="1" applyFill="1" applyBorder="1" applyAlignment="1">
      <alignment horizontal="left" vertical="center"/>
    </xf>
    <xf numFmtId="49" fontId="8" fillId="3" borderId="8" xfId="2" applyNumberFormat="1" applyFont="1" applyFill="1" applyBorder="1" applyAlignment="1">
      <alignment horizontal="left" vertical="center"/>
    </xf>
    <xf numFmtId="49" fontId="8" fillId="3" borderId="8" xfId="2" applyNumberFormat="1" applyFont="1" applyFill="1" applyBorder="1" applyAlignment="1">
      <alignment horizontal="center" vertical="center"/>
    </xf>
    <xf numFmtId="43" fontId="5" fillId="3" borderId="8" xfId="3" applyFont="1" applyFill="1" applyBorder="1" applyAlignment="1">
      <alignment horizontal="right" vertical="center"/>
    </xf>
    <xf numFmtId="43" fontId="5" fillId="3" borderId="9" xfId="3" applyFont="1" applyFill="1" applyBorder="1" applyAlignment="1">
      <alignment horizontal="right" vertical="center"/>
    </xf>
    <xf numFmtId="49" fontId="9" fillId="3" borderId="5" xfId="2" applyNumberFormat="1" applyFont="1" applyFill="1" applyBorder="1" applyAlignment="1">
      <alignment horizontal="left" vertical="center"/>
    </xf>
    <xf numFmtId="49" fontId="9" fillId="3" borderId="5" xfId="2" applyNumberFormat="1" applyFont="1" applyFill="1" applyBorder="1" applyAlignment="1">
      <alignment horizontal="center" vertical="center"/>
    </xf>
    <xf numFmtId="43" fontId="10" fillId="3" borderId="5" xfId="3" applyFont="1" applyFill="1" applyBorder="1" applyAlignment="1">
      <alignment horizontal="right" vertical="center"/>
    </xf>
    <xf numFmtId="43" fontId="10" fillId="3" borderId="6" xfId="3" applyFont="1" applyFill="1" applyBorder="1" applyAlignment="1">
      <alignment horizontal="right" vertical="center"/>
    </xf>
    <xf numFmtId="43" fontId="10" fillId="3" borderId="8" xfId="3" applyFont="1" applyFill="1" applyBorder="1" applyAlignment="1">
      <alignment horizontal="right" vertical="center"/>
    </xf>
    <xf numFmtId="43" fontId="11" fillId="3" borderId="5" xfId="1" applyFont="1" applyFill="1" applyBorder="1" applyAlignment="1">
      <alignment horizontal="right" vertical="center"/>
    </xf>
    <xf numFmtId="43" fontId="11" fillId="3" borderId="5" xfId="1" applyNumberFormat="1" applyFont="1" applyFill="1" applyBorder="1" applyAlignment="1">
      <alignment horizontal="right" vertical="center"/>
    </xf>
    <xf numFmtId="43" fontId="10" fillId="3" borderId="9" xfId="3" applyFont="1" applyFill="1" applyBorder="1" applyAlignment="1">
      <alignment horizontal="right" vertical="center"/>
    </xf>
    <xf numFmtId="43" fontId="6" fillId="3" borderId="5" xfId="1" applyFont="1" applyFill="1" applyBorder="1" applyAlignment="1">
      <alignment horizontal="right" vertical="center"/>
    </xf>
    <xf numFmtId="43" fontId="6" fillId="3" borderId="6" xfId="1" applyFont="1" applyFill="1" applyBorder="1" applyAlignment="1">
      <alignment horizontal="right" vertical="center"/>
    </xf>
    <xf numFmtId="49" fontId="3" fillId="2" borderId="0" xfId="2" applyNumberFormat="1" applyFont="1" applyFill="1" applyAlignment="1">
      <alignment horizontal="left" vertical="center"/>
    </xf>
    <xf numFmtId="0" fontId="12" fillId="2" borderId="0" xfId="2" applyFont="1" applyFill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2" applyFont="1" applyAlignment="1">
      <alignment vertical="center" wrapText="1"/>
    </xf>
    <xf numFmtId="0" fontId="1" fillId="4" borderId="0" xfId="2" applyFill="1"/>
    <xf numFmtId="49" fontId="3" fillId="3" borderId="0" xfId="2" applyNumberFormat="1" applyFont="1" applyFill="1" applyAlignment="1">
      <alignment horizontal="left" vertical="center"/>
    </xf>
  </cellXfs>
  <cellStyles count="4">
    <cellStyle name="Normal" xfId="0" builtinId="0"/>
    <cellStyle name="Normal 2" xfId="2"/>
    <cellStyle name="Vírgula" xfId="1" builtinId="3"/>
    <cellStyle name="Vírgula 2" xfId="3"/>
  </cellStyles>
  <dxfs count="6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5" formatCode="_-* #,##0.00_-;\-* #,##0.00_-;_-* &quot;-&quot;??_-;_-@_-"/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5" formatCode="_-* #,##0.00_-;\-* #,##0.00_-;_-* &quot;-&quot;??_-;_-@_-"/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5" formatCode="_-* #,##0.00_-;\-* #,##0.00_-;_-* &quot;-&quot;??_-;_-@_-"/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rgb="FFFFFFFF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5" formatCode="_-* #,##0.00_-;\-* #,##0.00_-;_-* &quot;-&quot;??_-;_-@_-"/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rgb="FFFFFFFF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5" formatCode="_-* #,##0.00_-;\-* #,##0.00_-;_-* &quot;-&quot;??_-;_-@_-"/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5" formatCode="_-* #,##0.00_-;\-* #,##0.00_-;_-* &quot;-&quot;??_-;_-@_-"/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5" formatCode="_-* #,##0.00_-;\-* #,##0.00_-;_-* &quot;-&quot;??_-;_-@_-"/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5" formatCode="_-* #,##0.00_-;\-* #,##0.00_-;_-* &quot;-&quot;??_-;_-@_-"/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6" name="Tabela2" displayName="Tabela2" ref="B5:I20" totalsRowShown="0" headerRowDxfId="67" dataDxfId="65" headerRowBorderDxfId="66" tableBorderDxfId="64" totalsRowBorderDxfId="63" headerRowCellStyle="Vírgula" dataCellStyle="Vírgula">
  <autoFilter ref="B5:I20"/>
  <tableColumns count="8">
    <tableColumn id="1" name="ILHA" dataDxfId="62"/>
    <tableColumn id="2" name="OPERADOR" dataDxfId="61"/>
    <tableColumn id="3" name="Número IEC" dataDxfId="60"/>
    <tableColumn id="4" name="Litros de Licor" dataDxfId="59" dataCellStyle="Vírgula"/>
    <tableColumn id="5" name="Litros de Álcool Puro" dataDxfId="58" dataCellStyle="Vírgula"/>
    <tableColumn id="6" name="Montante Cobrado (25%) €" dataDxfId="57" dataCellStyle="Vírgula"/>
    <tableColumn id="7" name="Benefício Fiscal (75%) €" dataDxfId="56" dataCellStyle="Vírgula">
      <calculatedColumnFormula>Tabela2[[#This Row],[Montante Cobrado (25%) €]]*3</calculatedColumnFormula>
    </tableColumn>
    <tableColumn id="8" name="IEC TOTAL  (€)" dataDxfId="55" dataCellStyle="Vírgula">
      <calculatedColumnFormula>Tabela2[[#This Row],[Benefício Fiscal (75%) €]]+Tabela2[[#This Row],[Montante Cobrado (25%) €]]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5" name="Tabela1" displayName="Tabela1" ref="B5:I16" totalsRowShown="0" headerRowDxfId="54" dataDxfId="52" headerRowBorderDxfId="53" tableBorderDxfId="51" totalsRowBorderDxfId="50" headerRowCellStyle="Vírgula" dataCellStyle="Vírgula">
  <autoFilter ref="B5:I16"/>
  <sortState ref="B4:I14">
    <sortCondition descending="1" ref="E4:E14"/>
  </sortState>
  <tableColumns count="8">
    <tableColumn id="1" name="ILHA" dataDxfId="49" totalsRowDxfId="48" dataCellStyle="Normal 2"/>
    <tableColumn id="2" name="Nome" dataDxfId="47" totalsRowDxfId="46" dataCellStyle="Normal 2"/>
    <tableColumn id="3" name="Número IEC" dataDxfId="45" totalsRowDxfId="44" dataCellStyle="Normal 2"/>
    <tableColumn id="4" name="Litros de Aguardente" dataDxfId="43" totalsRowDxfId="42" dataCellStyle="Vírgula"/>
    <tableColumn id="5" name="Litros de Álcool Puro" dataDxfId="41" totalsRowDxfId="40" dataCellStyle="Vírgula"/>
    <tableColumn id="6" name="Montante Cobrado (25%)" dataDxfId="39" totalsRowDxfId="38" dataCellStyle="Vírgula"/>
    <tableColumn id="7" name="Benefício Fiscal (75%)" dataDxfId="37" totalsRowDxfId="36" dataCellStyle="Vírgula">
      <calculatedColumnFormula>Tabela1[[#This Row],[Montante Cobrado (25%)]]*3</calculatedColumnFormula>
    </tableColumn>
    <tableColumn id="8" name="IEC TOTAL €" dataDxfId="35" totalsRowDxfId="34" dataCellStyle="Vírgul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22" displayName="Tabela22" ref="B5:I10" totalsRowShown="0" headerRowDxfId="33" dataDxfId="32" headerRowBorderDxfId="30" tableBorderDxfId="31" totalsRowBorderDxfId="29" headerRowCellStyle="Vírgula" dataCellStyle="Vírgula">
  <autoFilter ref="B5:I10"/>
  <tableColumns count="8">
    <tableColumn id="1" name="ILHA" dataDxfId="28"/>
    <tableColumn id="2" name="OPERADOR" dataDxfId="27"/>
    <tableColumn id="3" name="Número IEC" dataDxfId="26"/>
    <tableColumn id="4" name="Litros de Licor" dataDxfId="25" dataCellStyle="Vírgula"/>
    <tableColumn id="5" name="Litros de Álcool Puro" dataDxfId="24" dataCellStyle="Vírgula"/>
    <tableColumn id="6" name="Montante Cobrado (50%) €" dataDxfId="23" dataCellStyle="Vírgula"/>
    <tableColumn id="7" name="Benefício Fiscal (50%) €" dataDxfId="0" dataCellStyle="Vírgula">
      <calculatedColumnFormula>Tabela22[[#This Row],[Montante Cobrado (50%) €]]</calculatedColumnFormula>
    </tableColumn>
    <tableColumn id="8" name="IEC TOTAL  (€)" dataDxfId="22" dataCellStyle="Vírgula">
      <calculatedColumnFormula>Tabela22[[#This Row],[Benefício Fiscal (50%) €]]+Tabela22[[#This Row],[Montante Cobrado (50%) €]]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13" displayName="Tabela13" ref="B5:I8" totalsRowShown="0" headerRowDxfId="21" dataDxfId="20" headerRowBorderDxfId="18" tableBorderDxfId="19" totalsRowBorderDxfId="17" headerRowCellStyle="Vírgula" dataCellStyle="Vírgula">
  <autoFilter ref="B5:I8"/>
  <sortState ref="B4:I14">
    <sortCondition descending="1" ref="E4:E14"/>
  </sortState>
  <tableColumns count="8">
    <tableColumn id="1" name="ILHA" dataDxfId="15" totalsRowDxfId="16" dataCellStyle="Normal 2"/>
    <tableColumn id="2" name="Nome" dataDxfId="13" totalsRowDxfId="14" dataCellStyle="Normal 2"/>
    <tableColumn id="3" name="Número IEC" dataDxfId="11" totalsRowDxfId="12" dataCellStyle="Normal 2"/>
    <tableColumn id="4" name="Litros de Aguardente" dataDxfId="9" totalsRowDxfId="10" dataCellStyle="Vírgula"/>
    <tableColumn id="5" name="Litros de Álcool Puro" dataDxfId="7" totalsRowDxfId="8" dataCellStyle="Vírgula"/>
    <tableColumn id="6" name="Montante Cobrado (50%)" dataDxfId="5" totalsRowDxfId="6" dataCellStyle="Vírgula"/>
    <tableColumn id="7" name="Benefício Fiscal (50%)" dataDxfId="3" totalsRowDxfId="4" dataCellStyle="Vírgula">
      <calculatedColumnFormula>Tabela13[[#This Row],[Montante Cobrado (50%)]]*3</calculatedColumnFormula>
    </tableColumn>
    <tableColumn id="8" name="IEC TOTAL €" dataDxfId="1" totalsRowDxfId="2" dataCellStyle="Vírgul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C6" sqref="C6"/>
    </sheetView>
  </sheetViews>
  <sheetFormatPr defaultColWidth="9.140625" defaultRowHeight="15" x14ac:dyDescent="0.25"/>
  <cols>
    <col min="1" max="1" width="4" style="15" customWidth="1"/>
    <col min="2" max="2" width="14.5703125" style="15" customWidth="1"/>
    <col min="3" max="3" width="65.140625" style="15" bestFit="1" customWidth="1"/>
    <col min="4" max="4" width="15" style="15" bestFit="1" customWidth="1"/>
    <col min="5" max="5" width="17.28515625" style="15" customWidth="1"/>
    <col min="6" max="6" width="24.7109375" style="15" bestFit="1" customWidth="1"/>
    <col min="7" max="7" width="28.28515625" style="15" bestFit="1" customWidth="1"/>
    <col min="8" max="8" width="23.7109375" style="15" customWidth="1"/>
    <col min="9" max="9" width="19.140625" style="15" bestFit="1" customWidth="1"/>
    <col min="10" max="16384" width="9.140625" style="15"/>
  </cols>
  <sheetData>
    <row r="1" spans="1:9" ht="27" customHeight="1" x14ac:dyDescent="0.25">
      <c r="B1" s="44"/>
      <c r="C1" s="44"/>
      <c r="D1" s="44"/>
      <c r="E1" s="44"/>
      <c r="F1" s="44"/>
      <c r="G1" s="44"/>
      <c r="H1" s="44"/>
      <c r="I1" s="44"/>
    </row>
    <row r="2" spans="1:9" s="2" customFormat="1" ht="25.5" customHeight="1" x14ac:dyDescent="0.25">
      <c r="A2" s="1"/>
      <c r="B2" s="45" t="s">
        <v>66</v>
      </c>
      <c r="C2" s="45"/>
      <c r="D2" s="45"/>
      <c r="E2" s="45"/>
      <c r="F2" s="45"/>
      <c r="G2" s="45"/>
      <c r="H2" s="45"/>
      <c r="I2" s="45"/>
    </row>
    <row r="3" spans="1:9" s="2" customFormat="1" ht="21" customHeight="1" x14ac:dyDescent="0.25">
      <c r="A3" s="1"/>
      <c r="B3" s="41" t="s">
        <v>64</v>
      </c>
      <c r="C3" s="41"/>
      <c r="D3" s="41"/>
      <c r="E3" s="41"/>
      <c r="F3" s="41"/>
      <c r="G3" s="41"/>
      <c r="H3" s="41"/>
      <c r="I3" s="41"/>
    </row>
    <row r="4" spans="1:9" s="2" customFormat="1" ht="22.5" customHeight="1" x14ac:dyDescent="0.25">
      <c r="A4" s="1"/>
      <c r="B4" s="41" t="s">
        <v>65</v>
      </c>
      <c r="C4" s="41"/>
      <c r="D4" s="41"/>
      <c r="E4" s="41"/>
      <c r="F4" s="41"/>
      <c r="G4" s="41"/>
      <c r="H4" s="41"/>
      <c r="I4" s="41"/>
    </row>
    <row r="5" spans="1:9" s="2" customFormat="1" ht="30" customHeight="1" x14ac:dyDescent="0.25">
      <c r="A5" s="1"/>
      <c r="B5" s="5" t="s">
        <v>0</v>
      </c>
      <c r="C5" s="6" t="s">
        <v>1</v>
      </c>
      <c r="D5" s="6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8" t="s">
        <v>7</v>
      </c>
    </row>
    <row r="6" spans="1:9" s="2" customFormat="1" ht="42.75" customHeight="1" x14ac:dyDescent="0.25">
      <c r="A6" s="1"/>
      <c r="B6" s="9" t="s">
        <v>8</v>
      </c>
      <c r="C6" s="10" t="s">
        <v>9</v>
      </c>
      <c r="D6" s="10" t="s">
        <v>10</v>
      </c>
      <c r="E6" s="11">
        <v>20167</v>
      </c>
      <c r="F6" s="11">
        <v>4602.84</v>
      </c>
      <c r="G6" s="11">
        <v>16763.849999999999</v>
      </c>
      <c r="H6" s="11">
        <f>Tabela2[[#This Row],[Montante Cobrado (25%) €]]*3</f>
        <v>50291.549999999996</v>
      </c>
      <c r="I6" s="12">
        <f>Tabela2[[#This Row],[Benefício Fiscal (75%) €]]+Tabela2[[#This Row],[Montante Cobrado (25%) €]]</f>
        <v>67055.399999999994</v>
      </c>
    </row>
    <row r="7" spans="1:9" s="2" customFormat="1" ht="42.75" customHeight="1" x14ac:dyDescent="0.25">
      <c r="A7" s="1"/>
      <c r="B7" s="9" t="s">
        <v>8</v>
      </c>
      <c r="C7" s="10" t="s">
        <v>11</v>
      </c>
      <c r="D7" s="10" t="s">
        <v>12</v>
      </c>
      <c r="E7" s="11">
        <v>1304.49</v>
      </c>
      <c r="F7" s="11">
        <v>398.16</v>
      </c>
      <c r="G7" s="11">
        <v>1450.09</v>
      </c>
      <c r="H7" s="11">
        <f>Tabela2[[#This Row],[Montante Cobrado (25%) €]]*3</f>
        <v>4350.2699999999995</v>
      </c>
      <c r="I7" s="12">
        <f>Tabela2[[#This Row],[Benefício Fiscal (75%) €]]+Tabela2[[#This Row],[Montante Cobrado (25%) €]]</f>
        <v>5800.36</v>
      </c>
    </row>
    <row r="8" spans="1:9" s="2" customFormat="1" ht="42.75" customHeight="1" x14ac:dyDescent="0.25">
      <c r="A8" s="1"/>
      <c r="B8" s="9" t="s">
        <v>8</v>
      </c>
      <c r="C8" s="10" t="s">
        <v>13</v>
      </c>
      <c r="D8" s="10" t="s">
        <v>14</v>
      </c>
      <c r="E8" s="11">
        <v>7022.5</v>
      </c>
      <c r="F8" s="11">
        <v>1638</v>
      </c>
      <c r="G8" s="11">
        <v>5965.67</v>
      </c>
      <c r="H8" s="11">
        <f>Tabela2[[#This Row],[Montante Cobrado (25%) €]]*3</f>
        <v>17897.010000000002</v>
      </c>
      <c r="I8" s="12">
        <f>Tabela2[[#This Row],[Benefício Fiscal (75%) €]]+Tabela2[[#This Row],[Montante Cobrado (25%) €]]</f>
        <v>23862.68</v>
      </c>
    </row>
    <row r="9" spans="1:9" s="2" customFormat="1" ht="42.75" customHeight="1" x14ac:dyDescent="0.25">
      <c r="A9" s="1"/>
      <c r="B9" s="9" t="s">
        <v>8</v>
      </c>
      <c r="C9" s="10" t="s">
        <v>15</v>
      </c>
      <c r="D9" s="10" t="s">
        <v>16</v>
      </c>
      <c r="E9" s="11">
        <v>1344</v>
      </c>
      <c r="F9" s="11">
        <v>268.8</v>
      </c>
      <c r="G9" s="11">
        <v>978.97</v>
      </c>
      <c r="H9" s="11">
        <f>Tabela2[[#This Row],[Montante Cobrado (25%) €]]*3</f>
        <v>2936.91</v>
      </c>
      <c r="I9" s="12">
        <f>Tabela2[[#This Row],[Benefício Fiscal (75%) €]]+Tabela2[[#This Row],[Montante Cobrado (25%) €]]</f>
        <v>3915.88</v>
      </c>
    </row>
    <row r="10" spans="1:9" s="2" customFormat="1" ht="42.75" customHeight="1" x14ac:dyDescent="0.25">
      <c r="A10" s="1"/>
      <c r="B10" s="9" t="s">
        <v>8</v>
      </c>
      <c r="C10" s="10" t="s">
        <v>17</v>
      </c>
      <c r="D10" s="10" t="s">
        <v>18</v>
      </c>
      <c r="E10" s="11">
        <v>1050</v>
      </c>
      <c r="F10" s="11">
        <v>335.3</v>
      </c>
      <c r="G10" s="11">
        <v>1221.18</v>
      </c>
      <c r="H10" s="11">
        <f>Tabela2[[#This Row],[Montante Cobrado (25%) €]]*3</f>
        <v>3663.54</v>
      </c>
      <c r="I10" s="12">
        <f>Tabela2[[#This Row],[Benefício Fiscal (75%) €]]+Tabela2[[#This Row],[Montante Cobrado (25%) €]]</f>
        <v>4884.72</v>
      </c>
    </row>
    <row r="11" spans="1:9" s="2" customFormat="1" ht="42.75" customHeight="1" x14ac:dyDescent="0.25">
      <c r="A11" s="1"/>
      <c r="B11" s="9" t="s">
        <v>19</v>
      </c>
      <c r="C11" s="10" t="s">
        <v>20</v>
      </c>
      <c r="D11" s="10" t="s">
        <v>21</v>
      </c>
      <c r="E11" s="11">
        <v>153396.79999999999</v>
      </c>
      <c r="F11" s="11">
        <v>46393.82</v>
      </c>
      <c r="G11" s="11">
        <v>168969.76</v>
      </c>
      <c r="H11" s="11">
        <f>Tabela2[[#This Row],[Montante Cobrado (25%) €]]*3</f>
        <v>506909.28</v>
      </c>
      <c r="I11" s="12">
        <f>Tabela2[[#This Row],[Benefício Fiscal (75%) €]]+Tabela2[[#This Row],[Montante Cobrado (25%) €]]</f>
        <v>675879.04</v>
      </c>
    </row>
    <row r="12" spans="1:9" s="2" customFormat="1" ht="42.75" customHeight="1" x14ac:dyDescent="0.25">
      <c r="A12" s="1"/>
      <c r="B12" s="9" t="s">
        <v>19</v>
      </c>
      <c r="C12" s="10" t="s">
        <v>22</v>
      </c>
      <c r="D12" s="10" t="s">
        <v>23</v>
      </c>
      <c r="E12" s="11">
        <v>142477.75</v>
      </c>
      <c r="F12" s="11">
        <v>33166.29</v>
      </c>
      <c r="G12" s="11">
        <v>120794.12</v>
      </c>
      <c r="H12" s="11">
        <f>Tabela2[[#This Row],[Montante Cobrado (25%) €]]*3</f>
        <v>362382.36</v>
      </c>
      <c r="I12" s="12">
        <f>Tabela2[[#This Row],[Benefício Fiscal (75%) €]]+Tabela2[[#This Row],[Montante Cobrado (25%) €]]</f>
        <v>483176.48</v>
      </c>
    </row>
    <row r="13" spans="1:9" s="2" customFormat="1" ht="42.75" customHeight="1" x14ac:dyDescent="0.25">
      <c r="A13" s="1"/>
      <c r="B13" s="9" t="s">
        <v>19</v>
      </c>
      <c r="C13" s="10" t="s">
        <v>24</v>
      </c>
      <c r="D13" s="10" t="s">
        <v>25</v>
      </c>
      <c r="E13" s="11">
        <v>71329.600000000006</v>
      </c>
      <c r="F13" s="11">
        <v>20404.13</v>
      </c>
      <c r="G13" s="11">
        <v>74313.399999999994</v>
      </c>
      <c r="H13" s="11">
        <f>Tabela2[[#This Row],[Montante Cobrado (25%) €]]*3</f>
        <v>222940.19999999998</v>
      </c>
      <c r="I13" s="12">
        <f>Tabela2[[#This Row],[Benefício Fiscal (75%) €]]+Tabela2[[#This Row],[Montante Cobrado (25%) €]]</f>
        <v>297253.59999999998</v>
      </c>
    </row>
    <row r="14" spans="1:9" s="2" customFormat="1" ht="42.75" customHeight="1" x14ac:dyDescent="0.25">
      <c r="A14" s="1"/>
      <c r="B14" s="9" t="s">
        <v>19</v>
      </c>
      <c r="C14" s="10" t="s">
        <v>26</v>
      </c>
      <c r="D14" s="10" t="s">
        <v>27</v>
      </c>
      <c r="E14" s="11">
        <v>9283.75</v>
      </c>
      <c r="F14" s="11">
        <v>2029.6</v>
      </c>
      <c r="G14" s="11">
        <v>7392.07</v>
      </c>
      <c r="H14" s="11">
        <f>Tabela2[[#This Row],[Montante Cobrado (25%) €]]*3</f>
        <v>22176.21</v>
      </c>
      <c r="I14" s="12">
        <f>Tabela2[[#This Row],[Benefício Fiscal (75%) €]]+Tabela2[[#This Row],[Montante Cobrado (25%) €]]</f>
        <v>29568.28</v>
      </c>
    </row>
    <row r="15" spans="1:9" s="2" customFormat="1" ht="42.75" customHeight="1" x14ac:dyDescent="0.25">
      <c r="A15" s="1"/>
      <c r="B15" s="9" t="s">
        <v>19</v>
      </c>
      <c r="C15" s="10" t="s">
        <v>28</v>
      </c>
      <c r="D15" s="10" t="s">
        <v>29</v>
      </c>
      <c r="E15" s="11">
        <v>1004.4</v>
      </c>
      <c r="F15" s="11">
        <v>200.88</v>
      </c>
      <c r="G15" s="11">
        <v>731.63</v>
      </c>
      <c r="H15" s="11">
        <f>Tabela2[[#This Row],[Montante Cobrado (25%) €]]*3</f>
        <v>2194.89</v>
      </c>
      <c r="I15" s="12">
        <f>Tabela2[[#This Row],[Benefício Fiscal (75%) €]]+Tabela2[[#This Row],[Montante Cobrado (25%) €]]</f>
        <v>2926.52</v>
      </c>
    </row>
    <row r="16" spans="1:9" s="2" customFormat="1" ht="42.75" customHeight="1" x14ac:dyDescent="0.25">
      <c r="A16" s="1"/>
      <c r="B16" s="9" t="s">
        <v>19</v>
      </c>
      <c r="C16" s="10" t="s">
        <v>30</v>
      </c>
      <c r="D16" s="10" t="s">
        <v>31</v>
      </c>
      <c r="E16" s="11">
        <v>2239.6</v>
      </c>
      <c r="F16" s="11">
        <v>609.16999999999996</v>
      </c>
      <c r="G16" s="11">
        <v>2218.5</v>
      </c>
      <c r="H16" s="11">
        <f>Tabela2[[#This Row],[Montante Cobrado (25%) €]]*3</f>
        <v>6655.5</v>
      </c>
      <c r="I16" s="12">
        <f>Tabela2[[#This Row],[Benefício Fiscal (75%) €]]+Tabela2[[#This Row],[Montante Cobrado (25%) €]]</f>
        <v>8874</v>
      </c>
    </row>
    <row r="17" spans="1:9" s="2" customFormat="1" ht="42.75" customHeight="1" x14ac:dyDescent="0.25">
      <c r="A17" s="1"/>
      <c r="B17" s="9" t="s">
        <v>8</v>
      </c>
      <c r="C17" s="10" t="s">
        <v>47</v>
      </c>
      <c r="D17" s="10" t="s">
        <v>48</v>
      </c>
      <c r="E17" s="38">
        <v>60.5</v>
      </c>
      <c r="F17" s="38">
        <v>11.5</v>
      </c>
      <c r="G17" s="38">
        <v>41.87</v>
      </c>
      <c r="H17" s="38">
        <f>Tabela2[[#This Row],[Montante Cobrado (25%) €]]*3</f>
        <v>125.60999999999999</v>
      </c>
      <c r="I17" s="39">
        <f>Tabela2[[#This Row],[Benefício Fiscal (75%) €]]+Tabela2[[#This Row],[Montante Cobrado (25%) €]]</f>
        <v>167.48</v>
      </c>
    </row>
    <row r="18" spans="1:9" s="2" customFormat="1" ht="42.75" customHeight="1" x14ac:dyDescent="0.25">
      <c r="A18" s="1"/>
      <c r="B18" s="9" t="s">
        <v>50</v>
      </c>
      <c r="C18" s="10" t="s">
        <v>49</v>
      </c>
      <c r="D18" s="10" t="s">
        <v>51</v>
      </c>
      <c r="E18" s="38">
        <v>37</v>
      </c>
      <c r="F18" s="38">
        <v>9.3699999999999992</v>
      </c>
      <c r="G18" s="38">
        <v>34.119999999999997</v>
      </c>
      <c r="H18" s="38">
        <f>Tabela2[[#This Row],[Montante Cobrado (25%) €]]*3</f>
        <v>102.35999999999999</v>
      </c>
      <c r="I18" s="39">
        <f>Tabela2[[#This Row],[Benefício Fiscal (75%) €]]+Tabela2[[#This Row],[Montante Cobrado (25%) €]]</f>
        <v>136.47999999999999</v>
      </c>
    </row>
    <row r="19" spans="1:9" s="2" customFormat="1" ht="42.75" customHeight="1" x14ac:dyDescent="0.25">
      <c r="A19" s="1"/>
      <c r="B19" s="9" t="s">
        <v>8</v>
      </c>
      <c r="C19" s="10" t="s">
        <v>52</v>
      </c>
      <c r="D19" s="10" t="s">
        <v>53</v>
      </c>
      <c r="E19" s="38">
        <v>387</v>
      </c>
      <c r="F19" s="38">
        <v>74.47</v>
      </c>
      <c r="G19" s="38">
        <v>271.22000000000003</v>
      </c>
      <c r="H19" s="38">
        <f>Tabela2[[#This Row],[Montante Cobrado (25%) €]]*3</f>
        <v>813.66000000000008</v>
      </c>
      <c r="I19" s="39">
        <f>Tabela2[[#This Row],[Benefício Fiscal (75%) €]]+Tabela2[[#This Row],[Montante Cobrado (25%) €]]</f>
        <v>1084.8800000000001</v>
      </c>
    </row>
    <row r="20" spans="1:9" s="2" customFormat="1" ht="42.75" customHeight="1" x14ac:dyDescent="0.25">
      <c r="A20" s="1"/>
      <c r="B20" s="13"/>
      <c r="C20" s="14"/>
      <c r="D20" s="14"/>
      <c r="E20" s="28">
        <f>SUBTOTAL(109,E6:E19)</f>
        <v>411104.39</v>
      </c>
      <c r="F20" s="28">
        <f>SUBTOTAL(109,F6:F19)</f>
        <v>110142.33</v>
      </c>
      <c r="G20" s="28">
        <f>SUBTOTAL(109,G6:G19)</f>
        <v>401146.45</v>
      </c>
      <c r="H20" s="28">
        <f>Tabela2[[#This Row],[Montante Cobrado (25%) €]]*3</f>
        <v>1203439.3500000001</v>
      </c>
      <c r="I20" s="29">
        <f>Tabela2[[#This Row],[Benefício Fiscal (75%) €]]+Tabela2[[#This Row],[Montante Cobrado (25%) €]]</f>
        <v>1604585.8</v>
      </c>
    </row>
    <row r="21" spans="1:9" s="2" customFormat="1" ht="42.75" customHeight="1" x14ac:dyDescent="0.25">
      <c r="A21" s="1"/>
      <c r="B21" s="15"/>
      <c r="C21" s="15"/>
      <c r="D21" s="15"/>
      <c r="E21" s="15"/>
      <c r="F21" s="15"/>
      <c r="G21" s="15"/>
      <c r="H21" s="15"/>
      <c r="I21" s="15"/>
    </row>
  </sheetData>
  <mergeCells count="3">
    <mergeCell ref="B2:I2"/>
    <mergeCell ref="B4:I4"/>
    <mergeCell ref="B3:I3"/>
  </mergeCells>
  <pageMargins left="0.19685039370078741" right="0.19685039370078741" top="0.74803149606299213" bottom="0.74803149606299213" header="0.31496062992125984" footer="0.31496062992125984"/>
  <pageSetup paperSize="9" scale="6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B3" sqref="B3:I3"/>
    </sheetView>
  </sheetViews>
  <sheetFormatPr defaultColWidth="9.140625" defaultRowHeight="15" x14ac:dyDescent="0.25"/>
  <cols>
    <col min="1" max="1" width="6.5703125" style="15" customWidth="1"/>
    <col min="2" max="2" width="14.140625" style="15" customWidth="1"/>
    <col min="3" max="3" width="56.7109375" style="15" bestFit="1" customWidth="1"/>
    <col min="4" max="4" width="17.5703125" style="15" customWidth="1"/>
    <col min="5" max="5" width="21" style="15" customWidth="1"/>
    <col min="6" max="6" width="20.85546875" style="15" customWidth="1"/>
    <col min="7" max="7" width="23.7109375" style="15" customWidth="1"/>
    <col min="8" max="8" width="21.5703125" style="15" customWidth="1"/>
    <col min="9" max="9" width="22.85546875" style="15" customWidth="1"/>
    <col min="10" max="16384" width="9.140625" style="15"/>
  </cols>
  <sheetData>
    <row r="1" spans="1:9" s="44" customFormat="1" ht="23.25" customHeight="1" x14ac:dyDescent="0.25"/>
    <row r="2" spans="1:9" ht="20.25" x14ac:dyDescent="0.25">
      <c r="A2" s="16"/>
      <c r="B2" s="40" t="s">
        <v>46</v>
      </c>
      <c r="C2" s="40"/>
      <c r="D2" s="40"/>
      <c r="E2" s="40"/>
      <c r="F2" s="40"/>
      <c r="G2" s="40"/>
      <c r="H2" s="40"/>
      <c r="I2" s="40"/>
    </row>
    <row r="3" spans="1:9" ht="42.75" customHeight="1" x14ac:dyDescent="0.25">
      <c r="A3" s="16"/>
      <c r="B3" s="41" t="s">
        <v>62</v>
      </c>
      <c r="C3" s="41"/>
      <c r="D3" s="41"/>
      <c r="E3" s="41"/>
      <c r="F3" s="41"/>
      <c r="G3" s="41"/>
      <c r="H3" s="41"/>
      <c r="I3" s="41"/>
    </row>
    <row r="4" spans="1:9" ht="42.75" customHeight="1" x14ac:dyDescent="0.25">
      <c r="A4" s="16"/>
      <c r="B4" s="41" t="s">
        <v>63</v>
      </c>
      <c r="C4" s="41"/>
      <c r="D4" s="41"/>
      <c r="E4" s="41"/>
      <c r="F4" s="41"/>
      <c r="G4" s="41"/>
      <c r="H4" s="41"/>
      <c r="I4" s="41"/>
    </row>
    <row r="5" spans="1:9" ht="45.75" customHeight="1" x14ac:dyDescent="0.25">
      <c r="A5" s="16"/>
      <c r="B5" s="17" t="s">
        <v>0</v>
      </c>
      <c r="C5" s="18" t="s">
        <v>32</v>
      </c>
      <c r="D5" s="18" t="s">
        <v>2</v>
      </c>
      <c r="E5" s="19" t="s">
        <v>33</v>
      </c>
      <c r="F5" s="19" t="s">
        <v>4</v>
      </c>
      <c r="G5" s="19" t="s">
        <v>34</v>
      </c>
      <c r="H5" s="19" t="s">
        <v>35</v>
      </c>
      <c r="I5" s="20" t="s">
        <v>36</v>
      </c>
    </row>
    <row r="7" spans="1:9" ht="42.75" customHeight="1" x14ac:dyDescent="0.25">
      <c r="A7" s="16"/>
      <c r="B7" s="21" t="s">
        <v>19</v>
      </c>
      <c r="C7" s="22" t="s">
        <v>22</v>
      </c>
      <c r="D7" s="23" t="s">
        <v>23</v>
      </c>
      <c r="E7" s="32">
        <v>23221.9</v>
      </c>
      <c r="F7" s="32">
        <v>9270.26</v>
      </c>
      <c r="G7" s="32">
        <v>33762.71</v>
      </c>
      <c r="H7" s="32">
        <f>Tabela1[[#This Row],[Montante Cobrado (25%)]]*3</f>
        <v>101288.13</v>
      </c>
      <c r="I7" s="33">
        <f>Tabela1[[#This Row],[Benefício Fiscal (75%)]]+Tabela1[[#This Row],[Montante Cobrado (25%)]]</f>
        <v>135050.84</v>
      </c>
    </row>
    <row r="8" spans="1:9" ht="42.75" customHeight="1" x14ac:dyDescent="0.25">
      <c r="A8" s="16"/>
      <c r="B8" s="21" t="s">
        <v>19</v>
      </c>
      <c r="C8" s="22" t="s">
        <v>20</v>
      </c>
      <c r="D8" s="24" t="s">
        <v>21</v>
      </c>
      <c r="E8" s="32">
        <v>21662.400000000001</v>
      </c>
      <c r="F8" s="32">
        <v>8664.9599999999991</v>
      </c>
      <c r="G8" s="32">
        <v>31558.41</v>
      </c>
      <c r="H8" s="32">
        <f>Tabela1[[#This Row],[Montante Cobrado (25%)]]*3</f>
        <v>94675.23</v>
      </c>
      <c r="I8" s="33">
        <f>Tabela1[[#This Row],[Benefício Fiscal (75%)]]+Tabela1[[#This Row],[Montante Cobrado (25%)]]</f>
        <v>126233.64</v>
      </c>
    </row>
    <row r="9" spans="1:9" ht="42.75" customHeight="1" x14ac:dyDescent="0.25">
      <c r="A9" s="16"/>
      <c r="B9" s="21" t="s">
        <v>19</v>
      </c>
      <c r="C9" s="22" t="s">
        <v>24</v>
      </c>
      <c r="D9" s="24" t="s">
        <v>25</v>
      </c>
      <c r="E9" s="32">
        <v>13606</v>
      </c>
      <c r="F9" s="32">
        <v>5442.14</v>
      </c>
      <c r="G9" s="32">
        <v>19821.64</v>
      </c>
      <c r="H9" s="32">
        <f>Tabela1[[#This Row],[Montante Cobrado (25%)]]*3</f>
        <v>59464.92</v>
      </c>
      <c r="I9" s="33">
        <f>Tabela1[[#This Row],[Benefício Fiscal (75%)]]+Tabela1[[#This Row],[Montante Cobrado (25%)]]</f>
        <v>79286.559999999998</v>
      </c>
    </row>
    <row r="10" spans="1:9" ht="42.75" customHeight="1" x14ac:dyDescent="0.25">
      <c r="A10" s="16"/>
      <c r="B10" s="21" t="s">
        <v>8</v>
      </c>
      <c r="C10" s="22" t="s">
        <v>9</v>
      </c>
      <c r="D10" s="24" t="s">
        <v>10</v>
      </c>
      <c r="E10" s="32">
        <v>2639</v>
      </c>
      <c r="F10" s="32">
        <v>1319.5</v>
      </c>
      <c r="G10" s="32">
        <v>4805.72</v>
      </c>
      <c r="H10" s="32">
        <f>Tabela1[[#This Row],[Montante Cobrado (25%)]]*3</f>
        <v>14417.16</v>
      </c>
      <c r="I10" s="33">
        <f>Tabela1[[#This Row],[Benefício Fiscal (75%)]]+Tabela1[[#This Row],[Montante Cobrado (25%)]]</f>
        <v>19222.88</v>
      </c>
    </row>
    <row r="11" spans="1:9" ht="42.75" customHeight="1" x14ac:dyDescent="0.25">
      <c r="A11" s="16"/>
      <c r="B11" s="21" t="s">
        <v>8</v>
      </c>
      <c r="C11" s="22" t="s">
        <v>13</v>
      </c>
      <c r="D11" s="24" t="s">
        <v>14</v>
      </c>
      <c r="E11" s="32">
        <v>2170</v>
      </c>
      <c r="F11" s="32">
        <v>1128.4000000000001</v>
      </c>
      <c r="G11" s="32">
        <v>4109.71</v>
      </c>
      <c r="H11" s="32">
        <f>Tabela1[[#This Row],[Montante Cobrado (25%)]]*3</f>
        <v>12329.130000000001</v>
      </c>
      <c r="I11" s="33">
        <f>Tabela1[[#This Row],[Benefício Fiscal (75%)]]+Tabela1[[#This Row],[Montante Cobrado (25%)]]</f>
        <v>16438.84</v>
      </c>
    </row>
    <row r="12" spans="1:9" ht="42.75" customHeight="1" x14ac:dyDescent="0.25">
      <c r="A12" s="16"/>
      <c r="B12" s="21" t="s">
        <v>40</v>
      </c>
      <c r="C12" s="22" t="s">
        <v>41</v>
      </c>
      <c r="D12" s="24" t="s">
        <v>42</v>
      </c>
      <c r="E12" s="32">
        <v>756</v>
      </c>
      <c r="F12" s="32">
        <v>302.39999999999998</v>
      </c>
      <c r="G12" s="32">
        <v>1011.36</v>
      </c>
      <c r="H12" s="32">
        <f>Tabela1[[#This Row],[Montante Cobrado (25%)]]*3</f>
        <v>3034.08</v>
      </c>
      <c r="I12" s="33">
        <f>Tabela1[[#This Row],[Benefício Fiscal (75%)]]+Tabela1[[#This Row],[Montante Cobrado (25%)]]</f>
        <v>4045.44</v>
      </c>
    </row>
    <row r="13" spans="1:9" ht="42.75" customHeight="1" x14ac:dyDescent="0.25">
      <c r="A13" s="16"/>
      <c r="B13" s="21" t="s">
        <v>8</v>
      </c>
      <c r="C13" s="22" t="s">
        <v>15</v>
      </c>
      <c r="D13" s="24" t="s">
        <v>16</v>
      </c>
      <c r="E13" s="32">
        <v>721.7</v>
      </c>
      <c r="F13" s="32">
        <v>311.14999999999998</v>
      </c>
      <c r="G13" s="32">
        <v>1133.22</v>
      </c>
      <c r="H13" s="32">
        <f>Tabela1[[#This Row],[Montante Cobrado (25%)]]*3</f>
        <v>3399.66</v>
      </c>
      <c r="I13" s="33">
        <f>Tabela1[[#This Row],[Benefício Fiscal (75%)]]+Tabela1[[#This Row],[Montante Cobrado (25%)]]</f>
        <v>4532.88</v>
      </c>
    </row>
    <row r="14" spans="1:9" ht="42.75" customHeight="1" x14ac:dyDescent="0.25">
      <c r="A14" s="16"/>
      <c r="B14" s="21" t="s">
        <v>8</v>
      </c>
      <c r="C14" s="22" t="s">
        <v>11</v>
      </c>
      <c r="D14" s="24" t="s">
        <v>12</v>
      </c>
      <c r="E14" s="32">
        <v>603.4</v>
      </c>
      <c r="F14" s="32">
        <v>259</v>
      </c>
      <c r="G14" s="32">
        <v>943.25</v>
      </c>
      <c r="H14" s="32">
        <f>Tabela1[[#This Row],[Montante Cobrado (25%)]]*3</f>
        <v>2829.75</v>
      </c>
      <c r="I14" s="33">
        <f>Tabela1[[#This Row],[Benefício Fiscal (75%)]]+Tabela1[[#This Row],[Montante Cobrado (25%)]]</f>
        <v>3773</v>
      </c>
    </row>
    <row r="15" spans="1:9" ht="42" customHeight="1" x14ac:dyDescent="0.25">
      <c r="B15" s="25" t="s">
        <v>8</v>
      </c>
      <c r="C15" s="26" t="s">
        <v>44</v>
      </c>
      <c r="D15" s="27" t="s">
        <v>45</v>
      </c>
      <c r="E15" s="34">
        <v>412</v>
      </c>
      <c r="F15" s="34">
        <v>222.48</v>
      </c>
      <c r="G15" s="34">
        <v>810.28</v>
      </c>
      <c r="H15" s="34">
        <f>Tabela1[[#This Row],[Montante Cobrado (25%)]]*3</f>
        <v>2430.84</v>
      </c>
      <c r="I15" s="33">
        <f>SUM(G15:G16)</f>
        <v>1267.1099999999999</v>
      </c>
    </row>
    <row r="16" spans="1:9" ht="37.5" customHeight="1" x14ac:dyDescent="0.25">
      <c r="B16" s="25" t="s">
        <v>37</v>
      </c>
      <c r="C16" s="26" t="s">
        <v>38</v>
      </c>
      <c r="D16" s="27" t="s">
        <v>39</v>
      </c>
      <c r="E16" s="34">
        <v>256</v>
      </c>
      <c r="F16" s="34">
        <v>125.44</v>
      </c>
      <c r="G16" s="34">
        <v>456.83</v>
      </c>
      <c r="H16" s="34">
        <f>Tabela1[[#This Row],[Montante Cobrado (25%)]]*3</f>
        <v>1370.49</v>
      </c>
      <c r="I16" s="37">
        <f>Tabela1[[#This Row],[Benefício Fiscal (75%)]]+Tabela1[[#This Row],[Montante Cobrado (25%)]]</f>
        <v>1827.32</v>
      </c>
    </row>
    <row r="17" spans="1:9" ht="42.75" customHeight="1" x14ac:dyDescent="0.25">
      <c r="A17" s="16"/>
      <c r="B17" s="30"/>
      <c r="C17" s="30"/>
      <c r="D17" s="31"/>
      <c r="E17" s="35">
        <f>SUBTOTAL(109,Tabela1[Litros de Aguardente])</f>
        <v>66048.399999999994</v>
      </c>
      <c r="F17" s="35">
        <f>SUBTOTAL(109,Tabela1[Litros de Álcool Puro])</f>
        <v>27045.730000000003</v>
      </c>
      <c r="G17" s="35">
        <f>SUBTOTAL(109,Tabela1[Montante Cobrado (25%)])</f>
        <v>98413.13</v>
      </c>
      <c r="H17" s="36">
        <f>SUBTOTAL(109,Tabela1[Benefício Fiscal (75%)])</f>
        <v>295239.38999999996</v>
      </c>
      <c r="I17" s="36">
        <f>SUBTOTAL(109,Tabela1[IEC TOTAL €])</f>
        <v>391678.51</v>
      </c>
    </row>
  </sheetData>
  <mergeCells count="3">
    <mergeCell ref="B2:I2"/>
    <mergeCell ref="B4:I4"/>
    <mergeCell ref="B3:I3"/>
  </mergeCells>
  <pageMargins left="0.31496062992125984" right="0.11811023622047245" top="0.74803149606299213" bottom="0.74803149606299213" header="0.31496062992125984" footer="0.31496062992125984"/>
  <pageSetup paperSize="9" scale="7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B3" sqref="B3:I3"/>
    </sheetView>
  </sheetViews>
  <sheetFormatPr defaultColWidth="9.140625" defaultRowHeight="15" x14ac:dyDescent="0.25"/>
  <cols>
    <col min="1" max="1" width="4" style="15" customWidth="1"/>
    <col min="2" max="2" width="14.5703125" style="15" customWidth="1"/>
    <col min="3" max="3" width="65.140625" style="15" bestFit="1" customWidth="1"/>
    <col min="4" max="4" width="15" style="15" bestFit="1" customWidth="1"/>
    <col min="5" max="5" width="17.28515625" style="15" customWidth="1"/>
    <col min="6" max="6" width="24.7109375" style="15" bestFit="1" customWidth="1"/>
    <col min="7" max="7" width="22.85546875" style="15" customWidth="1"/>
    <col min="8" max="8" width="20.5703125" style="15" customWidth="1"/>
    <col min="9" max="9" width="19.140625" style="15" bestFit="1" customWidth="1"/>
    <col min="10" max="16384" width="9.140625" style="15"/>
  </cols>
  <sheetData>
    <row r="1" spans="1:9" ht="22.5" customHeight="1" x14ac:dyDescent="0.25">
      <c r="B1" s="3"/>
      <c r="C1" s="1"/>
      <c r="D1" s="1"/>
      <c r="E1" s="4"/>
      <c r="F1" s="4"/>
      <c r="G1" s="4"/>
      <c r="H1" s="4"/>
      <c r="I1" s="4"/>
    </row>
    <row r="2" spans="1:9" s="2" customFormat="1" ht="25.5" customHeight="1" x14ac:dyDescent="0.25">
      <c r="A2" s="1"/>
      <c r="B2" s="40" t="s">
        <v>43</v>
      </c>
      <c r="C2" s="40"/>
      <c r="D2" s="40"/>
      <c r="E2" s="40"/>
      <c r="F2" s="40"/>
      <c r="G2" s="40"/>
      <c r="H2" s="40"/>
      <c r="I2" s="40"/>
    </row>
    <row r="3" spans="1:9" s="2" customFormat="1" ht="26.25" customHeight="1" x14ac:dyDescent="0.25">
      <c r="A3" s="1"/>
      <c r="B3" s="41" t="s">
        <v>60</v>
      </c>
      <c r="C3" s="41"/>
      <c r="D3" s="41"/>
      <c r="E3" s="41"/>
      <c r="F3" s="41"/>
      <c r="G3" s="41"/>
      <c r="H3" s="41"/>
      <c r="I3" s="41"/>
    </row>
    <row r="4" spans="1:9" s="2" customFormat="1" ht="16.5" customHeight="1" x14ac:dyDescent="0.25">
      <c r="A4" s="1"/>
      <c r="B4" s="41" t="s">
        <v>59</v>
      </c>
      <c r="C4" s="41"/>
      <c r="D4" s="41"/>
      <c r="E4" s="41"/>
      <c r="F4" s="41"/>
      <c r="G4" s="41"/>
      <c r="H4" s="41"/>
      <c r="I4" s="41"/>
    </row>
    <row r="5" spans="1:9" s="2" customFormat="1" ht="30" customHeight="1" x14ac:dyDescent="0.25">
      <c r="A5" s="1"/>
      <c r="B5" s="5" t="s">
        <v>0</v>
      </c>
      <c r="C5" s="6" t="s">
        <v>1</v>
      </c>
      <c r="D5" s="6" t="s">
        <v>2</v>
      </c>
      <c r="E5" s="7" t="s">
        <v>3</v>
      </c>
      <c r="F5" s="7" t="s">
        <v>4</v>
      </c>
      <c r="G5" s="7" t="s">
        <v>57</v>
      </c>
      <c r="H5" s="7" t="s">
        <v>58</v>
      </c>
      <c r="I5" s="8" t="s">
        <v>7</v>
      </c>
    </row>
    <row r="6" spans="1:9" s="2" customFormat="1" ht="42.75" customHeight="1" x14ac:dyDescent="0.25">
      <c r="A6" s="1"/>
      <c r="B6" s="9" t="s">
        <v>8</v>
      </c>
      <c r="C6" s="10" t="s">
        <v>9</v>
      </c>
      <c r="D6" s="10" t="s">
        <v>10</v>
      </c>
      <c r="E6" s="11">
        <v>222.6</v>
      </c>
      <c r="F6" s="11">
        <v>46.96</v>
      </c>
      <c r="G6" s="11">
        <v>342.03</v>
      </c>
      <c r="H6" s="11">
        <f>Tabela22[[#This Row],[Montante Cobrado (50%) €]]</f>
        <v>342.03</v>
      </c>
      <c r="I6" s="12">
        <f>Tabela22[[#This Row],[Benefício Fiscal (50%) €]]+Tabela22[[#This Row],[Montante Cobrado (50%) €]]</f>
        <v>684.06</v>
      </c>
    </row>
    <row r="7" spans="1:9" s="2" customFormat="1" ht="42.75" customHeight="1" x14ac:dyDescent="0.25">
      <c r="A7" s="1"/>
      <c r="B7" s="9" t="s">
        <v>19</v>
      </c>
      <c r="C7" s="10" t="s">
        <v>20</v>
      </c>
      <c r="D7" s="10" t="s">
        <v>21</v>
      </c>
      <c r="E7" s="11">
        <v>570.4</v>
      </c>
      <c r="F7" s="11">
        <v>138.21</v>
      </c>
      <c r="G7" s="11">
        <v>1006.71</v>
      </c>
      <c r="H7" s="11">
        <f>Tabela22[[#This Row],[Montante Cobrado (50%) €]]</f>
        <v>1006.71</v>
      </c>
      <c r="I7" s="12">
        <f>Tabela22[[#This Row],[Benefício Fiscal (50%) €]]+Tabela22[[#This Row],[Montante Cobrado (50%) €]]</f>
        <v>2013.42</v>
      </c>
    </row>
    <row r="8" spans="1:9" s="2" customFormat="1" ht="42.75" customHeight="1" x14ac:dyDescent="0.25">
      <c r="A8" s="1"/>
      <c r="B8" s="9" t="s">
        <v>19</v>
      </c>
      <c r="C8" s="10" t="s">
        <v>22</v>
      </c>
      <c r="D8" s="10" t="s">
        <v>23</v>
      </c>
      <c r="E8" s="11">
        <v>8348.7999999999993</v>
      </c>
      <c r="F8" s="11">
        <v>1866.92</v>
      </c>
      <c r="G8" s="11">
        <v>13598.88</v>
      </c>
      <c r="H8" s="11">
        <f>Tabela22[[#This Row],[Montante Cobrado (50%) €]]</f>
        <v>13598.88</v>
      </c>
      <c r="I8" s="12">
        <f>Tabela22[[#This Row],[Benefício Fiscal (50%) €]]+Tabela22[[#This Row],[Montante Cobrado (50%) €]]</f>
        <v>27197.759999999998</v>
      </c>
    </row>
    <row r="9" spans="1:9" s="2" customFormat="1" ht="42.75" customHeight="1" x14ac:dyDescent="0.25">
      <c r="A9" s="1"/>
      <c r="B9" s="9" t="s">
        <v>19</v>
      </c>
      <c r="C9" s="10" t="s">
        <v>24</v>
      </c>
      <c r="D9" s="10" t="s">
        <v>25</v>
      </c>
      <c r="E9" s="11">
        <v>483.6</v>
      </c>
      <c r="F9" s="11">
        <v>103.17</v>
      </c>
      <c r="G9" s="11">
        <v>751.48</v>
      </c>
      <c r="H9" s="11">
        <f>Tabela22[[#This Row],[Montante Cobrado (50%) €]]</f>
        <v>751.48</v>
      </c>
      <c r="I9" s="12">
        <f>Tabela22[[#This Row],[Benefício Fiscal (50%) €]]+Tabela22[[#This Row],[Montante Cobrado (50%) €]]</f>
        <v>1502.96</v>
      </c>
    </row>
    <row r="10" spans="1:9" s="2" customFormat="1" ht="42.75" customHeight="1" x14ac:dyDescent="0.25">
      <c r="A10" s="1"/>
      <c r="B10" s="13"/>
      <c r="C10" s="14"/>
      <c r="D10" s="14"/>
      <c r="E10" s="28">
        <f>SUBTOTAL(109,E6:E9)</f>
        <v>9625.4</v>
      </c>
      <c r="F10" s="28">
        <f>SUBTOTAL(109,F6:F9)</f>
        <v>2155.2600000000002</v>
      </c>
      <c r="G10" s="28">
        <f>SUBTOTAL(109,G6:G9)</f>
        <v>15699.099999999999</v>
      </c>
      <c r="H10" s="28">
        <f>Tabela22[[#This Row],[Montante Cobrado (50%) €]]</f>
        <v>15699.099999999999</v>
      </c>
      <c r="I10" s="29">
        <f>Tabela22[[#This Row],[Benefício Fiscal (50%) €]]+Tabela22[[#This Row],[Montante Cobrado (50%) €]]</f>
        <v>31398.199999999997</v>
      </c>
    </row>
    <row r="11" spans="1:9" s="2" customFormat="1" ht="42.75" customHeight="1" x14ac:dyDescent="0.25">
      <c r="A11" s="1"/>
      <c r="B11" s="15"/>
      <c r="C11" s="15"/>
      <c r="D11" s="15"/>
      <c r="E11" s="15"/>
      <c r="F11" s="15"/>
      <c r="G11" s="15"/>
      <c r="H11" s="15"/>
      <c r="I11" s="15"/>
    </row>
  </sheetData>
  <mergeCells count="3">
    <mergeCell ref="B2:I2"/>
    <mergeCell ref="B3:I3"/>
    <mergeCell ref="B4:I4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65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C7" sqref="C7"/>
    </sheetView>
  </sheetViews>
  <sheetFormatPr defaultColWidth="9.140625" defaultRowHeight="15" x14ac:dyDescent="0.25"/>
  <cols>
    <col min="1" max="1" width="6.5703125" style="15" customWidth="1"/>
    <col min="2" max="2" width="14.140625" style="15" customWidth="1"/>
    <col min="3" max="3" width="56.7109375" style="15" bestFit="1" customWidth="1"/>
    <col min="4" max="4" width="17.5703125" style="15" customWidth="1"/>
    <col min="5" max="5" width="21.140625" style="15" customWidth="1"/>
    <col min="6" max="6" width="20.85546875" style="15" customWidth="1"/>
    <col min="7" max="7" width="23.7109375" style="15" customWidth="1"/>
    <col min="8" max="8" width="17.85546875" style="15" customWidth="1"/>
    <col min="9" max="9" width="19" style="15" customWidth="1"/>
    <col min="10" max="16384" width="9.140625" style="15"/>
  </cols>
  <sheetData>
    <row r="1" spans="1:9" ht="25.5" customHeight="1" x14ac:dyDescent="0.25">
      <c r="B1" s="41"/>
      <c r="C1" s="41"/>
      <c r="D1" s="41"/>
      <c r="E1" s="41"/>
      <c r="F1" s="41"/>
      <c r="G1" s="41"/>
      <c r="H1" s="41"/>
      <c r="I1" s="41"/>
    </row>
    <row r="2" spans="1:9" ht="20.25" x14ac:dyDescent="0.25">
      <c r="A2" s="16"/>
      <c r="B2" s="40" t="s">
        <v>46</v>
      </c>
      <c r="C2" s="40"/>
      <c r="D2" s="40"/>
      <c r="E2" s="40"/>
      <c r="F2" s="40"/>
      <c r="G2" s="40"/>
      <c r="H2" s="40"/>
      <c r="I2" s="40"/>
    </row>
    <row r="3" spans="1:9" ht="25.5" customHeight="1" x14ac:dyDescent="0.25">
      <c r="A3" s="16"/>
      <c r="B3" s="41" t="s">
        <v>61</v>
      </c>
      <c r="C3" s="41"/>
      <c r="D3" s="41"/>
      <c r="E3" s="41"/>
      <c r="F3" s="41"/>
      <c r="G3" s="41"/>
      <c r="H3" s="41"/>
      <c r="I3" s="41"/>
    </row>
    <row r="4" spans="1:9" ht="18" customHeight="1" x14ac:dyDescent="0.25">
      <c r="A4" s="16"/>
      <c r="B4" s="41" t="s">
        <v>54</v>
      </c>
      <c r="C4" s="41"/>
      <c r="D4" s="41"/>
      <c r="E4" s="41"/>
      <c r="F4" s="41"/>
      <c r="G4" s="41"/>
      <c r="H4" s="41"/>
      <c r="I4" s="41"/>
    </row>
    <row r="5" spans="1:9" ht="45.75" customHeight="1" x14ac:dyDescent="0.25">
      <c r="A5" s="16"/>
      <c r="B5" s="17" t="s">
        <v>0</v>
      </c>
      <c r="C5" s="18" t="s">
        <v>32</v>
      </c>
      <c r="D5" s="18" t="s">
        <v>2</v>
      </c>
      <c r="E5" s="19" t="s">
        <v>33</v>
      </c>
      <c r="F5" s="19" t="s">
        <v>4</v>
      </c>
      <c r="G5" s="19" t="s">
        <v>55</v>
      </c>
      <c r="H5" s="19" t="s">
        <v>56</v>
      </c>
      <c r="I5" s="20" t="s">
        <v>36</v>
      </c>
    </row>
    <row r="7" spans="1:9" ht="42.75" customHeight="1" x14ac:dyDescent="0.25">
      <c r="A7" s="16"/>
      <c r="B7" s="21" t="s">
        <v>19</v>
      </c>
      <c r="C7" s="22" t="s">
        <v>22</v>
      </c>
      <c r="D7" s="23" t="s">
        <v>23</v>
      </c>
      <c r="E7" s="32">
        <v>138.80000000000001</v>
      </c>
      <c r="F7" s="32">
        <v>55.22</v>
      </c>
      <c r="G7" s="32">
        <v>402.23</v>
      </c>
      <c r="H7" s="32">
        <f>Tabela13[[#This Row],[Montante Cobrado (50%)]]</f>
        <v>402.23</v>
      </c>
      <c r="I7" s="33">
        <f>Tabela13[[#This Row],[Benefício Fiscal (50%)]]+Tabela13[[#This Row],[Montante Cobrado (50%)]]</f>
        <v>804.46</v>
      </c>
    </row>
    <row r="8" spans="1:9" ht="42.75" customHeight="1" x14ac:dyDescent="0.25">
      <c r="A8" s="16"/>
      <c r="B8" s="21" t="s">
        <v>19</v>
      </c>
      <c r="C8" s="22" t="s">
        <v>20</v>
      </c>
      <c r="D8" s="24" t="s">
        <v>21</v>
      </c>
      <c r="E8" s="32">
        <v>176</v>
      </c>
      <c r="F8" s="32">
        <v>70.400000000000006</v>
      </c>
      <c r="G8" s="32">
        <v>512.79</v>
      </c>
      <c r="H8" s="32">
        <f>Tabela13[[#This Row],[Montante Cobrado (50%)]]</f>
        <v>512.79</v>
      </c>
      <c r="I8" s="33">
        <f>Tabela13[[#This Row],[Benefício Fiscal (50%)]]+Tabela13[[#This Row],[Montante Cobrado (50%)]]</f>
        <v>1025.58</v>
      </c>
    </row>
    <row r="9" spans="1:9" ht="42.75" customHeight="1" x14ac:dyDescent="0.25">
      <c r="A9" s="16"/>
      <c r="B9" s="30"/>
      <c r="C9" s="30"/>
      <c r="D9" s="31"/>
      <c r="E9" s="35">
        <f>SUBTOTAL(109,Tabela13[Litros de Aguardente])</f>
        <v>314.8</v>
      </c>
      <c r="F9" s="35">
        <f>SUBTOTAL(109,Tabela13[Litros de Álcool Puro])</f>
        <v>125.62</v>
      </c>
      <c r="G9" s="35">
        <f>SUBTOTAL(109,Tabela13[Montante Cobrado (50%)])</f>
        <v>915.02</v>
      </c>
      <c r="H9" s="36">
        <f>SUBTOTAL(109,Tabela13[Benefício Fiscal (50%)])</f>
        <v>915.02</v>
      </c>
      <c r="I9" s="36">
        <f>SUBTOTAL(109,Tabela13[IEC TOTAL €])</f>
        <v>1830.04</v>
      </c>
    </row>
    <row r="12" spans="1:9" ht="15.75" customHeight="1" x14ac:dyDescent="0.25">
      <c r="B12" s="43"/>
      <c r="C12" s="43"/>
      <c r="D12" s="43"/>
      <c r="E12" s="43"/>
      <c r="F12" s="43"/>
      <c r="G12" s="43"/>
      <c r="H12" s="43"/>
      <c r="I12" s="43"/>
    </row>
    <row r="16" spans="1:9" ht="72" customHeight="1" x14ac:dyDescent="0.25">
      <c r="B16" s="42"/>
    </row>
    <row r="17" spans="2:2" x14ac:dyDescent="0.25">
      <c r="B17" s="42"/>
    </row>
    <row r="18" spans="2:2" x14ac:dyDescent="0.25">
      <c r="B18" s="42"/>
    </row>
    <row r="19" spans="2:2" x14ac:dyDescent="0.25">
      <c r="B19" s="42"/>
    </row>
    <row r="20" spans="2:2" x14ac:dyDescent="0.25">
      <c r="B20" s="42"/>
    </row>
    <row r="21" spans="2:2" x14ac:dyDescent="0.25">
      <c r="B21" s="42"/>
    </row>
    <row r="22" spans="2:2" x14ac:dyDescent="0.25">
      <c r="B22" s="42"/>
    </row>
    <row r="23" spans="2:2" x14ac:dyDescent="0.25">
      <c r="B23" s="42"/>
    </row>
    <row r="24" spans="2:2" x14ac:dyDescent="0.25">
      <c r="B24" s="42"/>
    </row>
    <row r="25" spans="2:2" x14ac:dyDescent="0.25">
      <c r="B25" s="42"/>
    </row>
    <row r="26" spans="2:2" x14ac:dyDescent="0.25">
      <c r="B26" s="42"/>
    </row>
    <row r="27" spans="2:2" x14ac:dyDescent="0.25">
      <c r="B27" s="42"/>
    </row>
    <row r="28" spans="2:2" x14ac:dyDescent="0.25">
      <c r="B28" s="42"/>
    </row>
    <row r="29" spans="2:2" x14ac:dyDescent="0.25">
      <c r="B29" s="42"/>
    </row>
    <row r="30" spans="2:2" x14ac:dyDescent="0.25">
      <c r="B30" s="42"/>
    </row>
    <row r="31" spans="2:2" x14ac:dyDescent="0.25">
      <c r="B31" s="42"/>
    </row>
    <row r="32" spans="2:2" x14ac:dyDescent="0.25">
      <c r="B32" s="42"/>
    </row>
  </sheetData>
  <mergeCells count="4">
    <mergeCell ref="B2:I2"/>
    <mergeCell ref="B4:I4"/>
    <mergeCell ref="B3:I3"/>
    <mergeCell ref="B1:I1"/>
  </mergeCells>
  <printOptions horizontalCentered="1"/>
  <pageMargins left="0.31496062992125984" right="0.11811023622047245" top="0.74803149606299213" bottom="0.74803149606299213" header="0.31496062992125984" footer="0.31496062992125984"/>
  <pageSetup paperSize="9" scale="7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Licor 25%</vt:lpstr>
      <vt:lpstr>Aguardente 25%</vt:lpstr>
      <vt:lpstr>Licor Regional para fora 50%</vt:lpstr>
      <vt:lpstr>Aguardente Regional p Fora 50%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2024-03-27T16:21:54Z</dcterms:modified>
</cp:coreProperties>
</file>